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7545" tabRatio="863" activeTab="2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.a.sz.m.fejlesztés (4)" sheetId="8" r:id="rId8"/>
    <sheet name="6.b.sz.m.intfejl (2)" sheetId="9" r:id="rId9"/>
    <sheet name="7.sz.m.Dologi kiadás (3)" sheetId="10" r:id="rId10"/>
    <sheet name="8.sz.m.szociális kiadások (2)" sheetId="11" r:id="rId11"/>
    <sheet name="9.sz.m.átadott pe (3)" sheetId="12" r:id="rId12"/>
    <sheet name="10. saját bevételek" sheetId="13" r:id="rId13"/>
    <sheet name="11. sz.m. előir felh terv" sheetId="14" r:id="rId14"/>
    <sheet name="12.sz.m. állami támogatás " sheetId="15" r:id="rId15"/>
    <sheet name="13.sz.m.többéves kihatás" sheetId="16" r:id="rId16"/>
    <sheet name="üres lap" sheetId="17" state="hidden" r:id="rId17"/>
  </sheets>
  <externalReferences>
    <externalReference r:id="rId20"/>
    <externalReference r:id="rId21"/>
    <externalReference r:id="rId22"/>
    <externalReference r:id="rId23"/>
  </externalReferences>
  <definedNames>
    <definedName name="_xlfn.IFERROR" hidden="1">#NAME?</definedName>
    <definedName name="_xlnm.Print_Area" localSheetId="1">'1 .sz.m.önk.össz.kiad.'!$A$1:$AD$66</definedName>
    <definedName name="_xlnm.Print_Area" localSheetId="0">'1.sz.m-önk.össze.bev'!$A$1:$W$65</definedName>
    <definedName name="_xlnm.Print_Area" localSheetId="13">'11. sz.m. előir felh terv'!$A$1:$O$23</definedName>
    <definedName name="_xlnm.Print_Area" localSheetId="2">'2.sz.m.összehasonlító'!$A$1:$N$33</definedName>
    <definedName name="_xlnm.Print_Area" localSheetId="3">'3.sz.m Önk  bev.'!$A$1:$Y$63</definedName>
    <definedName name="_xlnm.Print_Area" localSheetId="4">'4.sz.m.ÖNK kiadás'!$A$1:$Y$40</definedName>
    <definedName name="_xlnm.Print_Area" localSheetId="5">'5.1 sz. m Köz Hiv'!$A$1:$AD$52</definedName>
    <definedName name="_xlnm.Print_Area" localSheetId="6">'5.2 sz. m ÁMK'!$A$1:$U$56</definedName>
    <definedName name="_xlnm.Print_Area" localSheetId="7">'6.a.sz.m.fejlesztés (4)'!$A$1:$Y$42</definedName>
    <definedName name="_xlnm.Print_Area" localSheetId="8">'6.b.sz.m.intfejl (2)'!$A$1:$J$34</definedName>
    <definedName name="_xlnm.Print_Area" localSheetId="9">'7.sz.m.Dologi kiadás (3)'!$A$1:$X$43</definedName>
    <definedName name="_xlnm.Print_Area" localSheetId="10">'8.sz.m.szociális kiadások (2)'!$A$1:$W$37</definedName>
    <definedName name="_xlnm.Print_Area" localSheetId="11">'9.sz.m.átadott pe (3)'!$A$1:$AB$118</definedName>
    <definedName name="_xlnm.Print_Area" localSheetId="16">'üres lap'!$A$1:$R$44</definedName>
  </definedNames>
  <calcPr fullCalcOnLoad="1"/>
</workbook>
</file>

<file path=xl/sharedStrings.xml><?xml version="1.0" encoding="utf-8"?>
<sst xmlns="http://schemas.openxmlformats.org/spreadsheetml/2006/main" count="1571" uniqueCount="663">
  <si>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</si>
  <si>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</si>
  <si>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</si>
  <si>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</si>
  <si>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</si>
  <si>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</si>
  <si>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</si>
  <si>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</si>
  <si>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</si>
  <si>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</si>
  <si>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</si>
  <si>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</si>
  <si>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</si>
  <si>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</si>
  <si>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</si>
  <si>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</si>
  <si>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</si>
  <si>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</si>
  <si>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</si>
  <si>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</si>
  <si>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</si>
  <si>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</si>
  <si>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</si>
  <si>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</si>
  <si>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</si>
  <si>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</si>
  <si>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</si>
  <si>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</si>
  <si>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</si>
  <si>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</si>
  <si>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</si>
  <si>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</si>
  <si>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</si>
  <si>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</si>
  <si>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</si>
  <si>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</si>
  <si>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</si>
  <si>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</si>
  <si>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</si>
  <si>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</si>
  <si>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</si>
  <si>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</si>
  <si>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</si>
  <si>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</si>
  <si>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</si>
  <si>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</si>
  <si>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</si>
  <si>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</si>
  <si>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</si>
  <si>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</si>
  <si>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</si>
  <si>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</si>
  <si>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</si>
  <si>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</si>
  <si>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</si>
  <si>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</si>
  <si>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</si>
  <si>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</si>
  <si>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</si>
  <si>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</si>
  <si>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</si>
  <si>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</si>
  <si>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</si>
  <si>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</si>
  <si>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</si>
  <si>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</si>
  <si>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</si>
  <si>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</si>
  <si>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</si>
  <si>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</si>
  <si>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</si>
  <si>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</si>
  <si>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</si>
  <si>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</si>
  <si>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</si>
  <si>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</si>
  <si>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</si>
  <si>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</si>
  <si>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</si>
  <si>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</si>
  <si>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</si>
  <si>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</si>
  <si>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</si>
  <si>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</si>
  <si>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</si>
  <si>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</si>
  <si>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</si>
  <si>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</si>
  <si>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</si>
  <si>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</si>
  <si>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</si>
  <si>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</si>
  <si>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</si>
  <si>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</si>
  <si>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</si>
  <si>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</si>
  <si>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</si>
  <si>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</si>
  <si>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</si>
  <si>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</si>
  <si>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</si>
  <si>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</si>
  <si>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</si>
  <si>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</si>
  <si>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</si>
  <si>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</si>
  <si>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</si>
  <si>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</si>
  <si>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</si>
  <si>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</si>
  <si>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</si>
  <si>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</si>
  <si>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</si>
  <si>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</si>
  <si>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</si>
  <si>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</si>
  <si>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</si>
  <si>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</si>
  <si>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</si>
  <si>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</si>
  <si>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</si>
  <si>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</si>
  <si>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</si>
  <si>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</si>
  <si>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</si>
  <si>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</si>
  <si>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</si>
  <si>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</si>
  <si>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</si>
  <si>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</si>
  <si>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</si>
  <si>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</si>
  <si>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</si>
  <si>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</si>
  <si>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</si>
  <si>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</si>
  <si>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</si>
  <si>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</si>
  <si>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</si>
  <si>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</si>
  <si>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</si>
  <si>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</si>
  <si>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</si>
  <si>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</si>
  <si>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</si>
  <si>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</si>
  <si>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</si>
  <si>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</si>
  <si>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</si>
  <si>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</si>
  <si>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</si>
  <si>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</si>
  <si>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</si>
  <si>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</si>
  <si>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</si>
  <si>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</si>
  <si>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</si>
  <si>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</si>
  <si>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</si>
  <si>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</si>
  <si>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</si>
  <si>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</si>
  <si>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</si>
  <si>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</si>
  <si>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</si>
  <si>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</si>
  <si>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</si>
  <si>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</si>
  <si>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</si>
  <si>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</si>
  <si>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</si>
  <si>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</si>
  <si>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</si>
  <si>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</si>
  <si>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</si>
  <si>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</si>
  <si>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</si>
  <si>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</si>
  <si>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</si>
  <si>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</si>
  <si>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</si>
  <si>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</si>
  <si>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</si>
  <si>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</si>
  <si>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</si>
  <si>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</si>
  <si>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</si>
  <si>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</si>
  <si>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</si>
  <si>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</si>
  <si>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</si>
  <si>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</si>
  <si>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</si>
  <si>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</si>
  <si>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</si>
  <si>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</si>
  <si>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</si>
  <si>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</si>
  <si>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</si>
  <si>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</si>
  <si>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</si>
  <si>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</si>
  <si>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</si>
  <si>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</si>
  <si>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</si>
  <si>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</si>
  <si>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</si>
  <si>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</si>
  <si>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</si>
  <si>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</si>
  <si>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</si>
  <si>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</si>
  <si>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</si>
  <si>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</si>
  <si>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</si>
  <si>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</si>
  <si>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</si>
  <si>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</si>
  <si>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</si>
  <si>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</si>
  <si>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</si>
  <si>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</si>
  <si>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</si>
  <si>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</si>
  <si>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</si>
  <si>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</si>
  <si>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</si>
  <si>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</si>
  <si>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</si>
  <si>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</si>
  <si>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</si>
  <si>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</si>
  <si>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</si>
  <si>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</si>
  <si>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</si>
  <si>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</si>
  <si>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</si>
  <si>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</si>
  <si>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</si>
  <si>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</si>
  <si>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</si>
  <si>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</si>
  <si>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</si>
  <si>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</si>
  <si>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</si>
  <si>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</si>
  <si>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</si>
  <si>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</si>
  <si>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</si>
  <si>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</si>
  <si>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</si>
  <si>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</si>
  <si>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</si>
  <si>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</si>
  <si>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</si>
  <si>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</si>
  <si>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</si>
  <si>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</si>
  <si>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</si>
  <si>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</si>
  <si>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</si>
  <si>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</si>
  <si>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</si>
  <si>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</si>
  <si>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</si>
  <si>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</si>
  <si>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</si>
  <si>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</si>
  <si>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</si>
  <si>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</si>
  <si>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</si>
  <si>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</si>
  <si>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</si>
  <si>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</si>
  <si>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</si>
  <si>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</si>
  <si>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</si>
  <si>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</si>
  <si>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</si>
  <si>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</si>
  <si>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</si>
  <si>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</si>
  <si>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</si>
  <si>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</si>
  <si>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</si>
  <si>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</si>
  <si>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</si>
  <si>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</si>
  <si>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</si>
  <si>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</si>
  <si>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</si>
  <si>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</si>
  <si>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</si>
  <si>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</si>
  <si>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</si>
  <si>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</si>
  <si>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</si>
  <si>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</si>
  <si>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</si>
  <si>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</si>
  <si>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</si>
  <si>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</si>
  <si>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</si>
  <si>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</si>
  <si>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</si>
  <si>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</si>
  <si>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</si>
  <si>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</si>
  <si>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</si>
  <si>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</si>
  <si>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</si>
  <si>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</si>
  <si>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</si>
  <si>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</si>
  <si>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</si>
  <si>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</si>
  <si>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</si>
  <si>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</si>
  <si>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</si>
  <si>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</si>
  <si>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</si>
  <si>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</si>
  <si>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</si>
  <si>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</si>
  <si>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</si>
  <si>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</si>
  <si>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</si>
  <si>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</si>
  <si>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</si>
  <si>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</si>
  <si>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</si>
  <si>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</si>
  <si>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</si>
  <si>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</si>
  <si>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</si>
  <si>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</si>
  <si>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</si>
  <si>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</si>
  <si>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</si>
  <si>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Vicai Ifjúsági Egyesület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</si>
  <si>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</si>
  <si>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</si>
  <si>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</si>
  <si>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</si>
  <si>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</si>
  <si>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</si>
  <si>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</si>
  <si>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</si>
  <si>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</si>
  <si>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</si>
  <si>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</si>
  <si>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</si>
  <si>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</si>
  <si>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</si>
  <si>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</si>
  <si>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</si>
  <si>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</si>
  <si>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</si>
  <si>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</si>
  <si>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</si>
  <si>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</si>
  <si>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</si>
  <si>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</si>
  <si>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</si>
  <si>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</si>
  <si>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</si>
  <si>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</si>
  <si>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</si>
  <si>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</si>
  <si>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</si>
  <si>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</si>
  <si>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</si>
  <si>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</si>
  <si>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</si>
  <si>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</si>
  <si>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</si>
  <si>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</si>
  <si>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</si>
  <si>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teljesítés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</si>
  <si>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</si>
  <si>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</si>
  <si>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</si>
  <si>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</si>
  <si>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</si>
  <si>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</si>
  <si>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</si>
  <si>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</si>
  <si>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</si>
  <si>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</si>
  <si>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</si>
  <si>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</si>
  <si>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</si>
  <si>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</si>
  <si>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</si>
  <si>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</si>
  <si>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</si>
  <si>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</si>
  <si>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</si>
  <si>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</si>
  <si>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</si>
  <si>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</si>
  <si>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</si>
  <si>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</si>
  <si>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</si>
  <si>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</si>
  <si>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</si>
  <si>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</si>
  <si>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</si>
  <si>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</si>
  <si>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</si>
  <si>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ÁH belüli megelőlegezések visszafizetései</t>
  </si>
  <si>
    <t>6.3</t>
  </si>
  <si>
    <t>Beled Ált.Isk.Diákönk.</t>
  </si>
  <si>
    <t>egyéb</t>
  </si>
  <si>
    <t>telj. %</t>
  </si>
  <si>
    <t>mód. IV.</t>
  </si>
  <si>
    <t>Gyermekvédelmi Erzsébet utalvány</t>
  </si>
  <si>
    <t>Szociális ágazati pótlék kiegészítő támogatás</t>
  </si>
  <si>
    <t>mód. V,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</si>
  <si>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</si>
  <si>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</si>
  <si>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</si>
  <si>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</si>
  <si>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</si>
  <si>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</si>
  <si>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</si>
  <si>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Szociális tűzifa (2015. évről áthúzódó)</t>
  </si>
  <si>
    <t>Forintban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</si>
  <si>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</si>
  <si>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</si>
  <si>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</si>
  <si>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</si>
  <si>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</si>
  <si>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</si>
  <si>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</si>
  <si>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</si>
  <si>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</si>
  <si>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</si>
  <si>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</si>
  <si>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</si>
  <si>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</si>
  <si>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</si>
  <si>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</si>
  <si>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</si>
  <si>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</si>
  <si>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</si>
  <si>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</si>
  <si>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</si>
  <si>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</si>
  <si>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</si>
  <si>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</si>
  <si>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</si>
  <si>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</si>
  <si>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</si>
  <si>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</si>
  <si>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</si>
  <si>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</si>
  <si>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Közvetített szolgáltatok ellenértéke</t>
  </si>
  <si>
    <t>Vadászati jog bérbeadéséból származó jövedelem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</si>
  <si>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</si>
  <si>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</si>
  <si>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</si>
  <si>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</si>
  <si>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Civil szervezetek támogatása (képviselői felajánlásból)</t>
  </si>
  <si>
    <t>Egyházak támogatása (képviselői felajánlásból)</t>
  </si>
  <si>
    <t>Iparűzési adó - állandó jellegggel végzett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</si>
  <si>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</si>
  <si>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</si>
  <si>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</si>
  <si>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</si>
  <si>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</si>
  <si>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</si>
  <si>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Szünidei gyermekétkeztetés (Gyvt. 21/C. §)</t>
  </si>
  <si>
    <t>Beled Sportegyesület "rezsitámogatás"</t>
  </si>
  <si>
    <t>Tárgyi eszközök értékesítése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</si>
  <si>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</si>
  <si>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</si>
  <si>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Forgatási célú értékpapírból származó bevétel</t>
  </si>
  <si>
    <t xml:space="preserve">BERUHÁZÁSOK (ÁFA-val) </t>
  </si>
  <si>
    <t>Beledi Katolikus Egyházközség</t>
  </si>
  <si>
    <t>Beledi Evangélikus Egyházközség</t>
  </si>
  <si>
    <t>Beled Sportegyesület műfüves pálya műszaki ellenőrzése</t>
  </si>
  <si>
    <t>Önkormányzati vagyongazdálkodással kapcsolatos feladatok</t>
  </si>
  <si>
    <t>Informatikai fejlesztések, szolgáltatások</t>
  </si>
  <si>
    <t>Biztosítás kárfizetés</t>
  </si>
  <si>
    <t>2.8</t>
  </si>
  <si>
    <t>Természetbeni támogatás Gyvt. 20/a §. (Erzsébet utalvány)</t>
  </si>
  <si>
    <t>Magyar Technikai és Tömegsport Szövetség Beledi Klubja</t>
  </si>
  <si>
    <t>Emberi Erőforrás Támogatáskezelő</t>
  </si>
  <si>
    <t>Fidesz-Magyar Polgári Szövetség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</si>
  <si>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</si>
  <si>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</si>
  <si>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</si>
  <si>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</si>
  <si>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Közúti személyszállítás (kerékpárút)</t>
  </si>
  <si>
    <t>Lakásfenntartással, lakhatással összefüggő ellátások (szociális tűzifa)</t>
  </si>
  <si>
    <t>Államháztartáson belüli megelőlegezés</t>
  </si>
  <si>
    <t>Szociális tűzifa (2017)</t>
  </si>
  <si>
    <t>"Elre" Horgász Egyesület 2017. évről áthúzódó</t>
  </si>
  <si>
    <t>Beledi Szociális és Gyermekjóléti Társulás 2017. évi hozzájárulás elszámolás</t>
  </si>
  <si>
    <t xml:space="preserve">2. számú melléklet </t>
  </si>
  <si>
    <t xml:space="preserve">3. számú melléklet </t>
  </si>
  <si>
    <t xml:space="preserve">4. számú melléklet </t>
  </si>
  <si>
    <t>EFOP-1.5.2 művelődési ház felújítása</t>
  </si>
  <si>
    <t>H</t>
  </si>
  <si>
    <t>TOP pályázat - Piac kialakítása</t>
  </si>
  <si>
    <t>Intézményen kívüli gyermekétkeztetés (szünidei)</t>
  </si>
  <si>
    <t>EFOP-1.5.2 pályázat - Humán szolgáltatások fejlesztése</t>
  </si>
  <si>
    <t>Beled Sportegyesület</t>
  </si>
  <si>
    <t>Fogorvosi ügyelet Soproni Szociális Intézmény</t>
  </si>
  <si>
    <t>Mozgáskorlátozottak Győr-Moson-Sopron Megyei Egyesülete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</si>
  <si>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</si>
  <si>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</si>
  <si>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</si>
  <si>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</si>
  <si>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</si>
  <si>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</si>
  <si>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C</t>
  </si>
  <si>
    <t>D</t>
  </si>
  <si>
    <t>E</t>
  </si>
  <si>
    <t>G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</si>
  <si>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</si>
  <si>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</si>
  <si>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</si>
  <si>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</si>
  <si>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</si>
  <si>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</si>
  <si>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2017. évi Pünkösdi Fesztivál előkészítése, lebonyolítása 152/2016. (XII. 21.) határozat szerint</t>
  </si>
  <si>
    <t>Felújítási kiadások felújításonként</t>
  </si>
  <si>
    <t>16.</t>
  </si>
  <si>
    <t>17.</t>
  </si>
  <si>
    <t>Egyéb (Pl.: garancia és kezességvállalás, stb.)</t>
  </si>
  <si>
    <t>2020.</t>
  </si>
  <si>
    <t xml:space="preserve">Összesen </t>
  </si>
  <si>
    <t>Hiteltörlesztés (2016. évi)</t>
  </si>
  <si>
    <t xml:space="preserve">12. számú melléklet </t>
  </si>
  <si>
    <t xml:space="preserve">10. számú melléklet </t>
  </si>
  <si>
    <t xml:space="preserve">1. számú melléklet </t>
  </si>
  <si>
    <t>Elszámolásból származó bevétel</t>
  </si>
  <si>
    <t>Önkormányzati bérkompenzáció</t>
  </si>
  <si>
    <t xml:space="preserve">5.2 számú melléklet </t>
  </si>
  <si>
    <t xml:space="preserve">5.1 számú melléklet </t>
  </si>
  <si>
    <t>nettó</t>
  </si>
  <si>
    <t>áfa</t>
  </si>
  <si>
    <t>Út, autópálya építése</t>
  </si>
  <si>
    <t>Egyéb szociális ellátások (szociális tűzifa)</t>
  </si>
  <si>
    <t>Magyar Védőnők Egyesülete</t>
  </si>
  <si>
    <t xml:space="preserve">Beledi Általános Iskola Diákjaiért Közalapítvány </t>
  </si>
  <si>
    <t>Móvár Nagytérségi Hulladékgazdálkodási Társulás</t>
  </si>
  <si>
    <t>Beled Város Önkéntes Tűzoltó Egyesülete</t>
  </si>
  <si>
    <t>01. Helyi önkormányzatok működésének általános támogatása</t>
  </si>
  <si>
    <t>2021.</t>
  </si>
  <si>
    <t>Önkormányzat összevont 2020. évi bevételi előirányzatai</t>
  </si>
  <si>
    <t>2020. évi belső forrásból fedezhető működési hiány</t>
  </si>
  <si>
    <t xml:space="preserve">2020. évi belső  forrásból fedezhető felhalmozási hiány </t>
  </si>
  <si>
    <t>2020. évi belső forrásból fedezhető összes hiány (1.+2.)</t>
  </si>
  <si>
    <t xml:space="preserve">2020. évi külső forrásból fedezhető működési hiány </t>
  </si>
  <si>
    <t xml:space="preserve">2020. évi külső forrásból fedezhető felhalmozási hiány </t>
  </si>
  <si>
    <t>2020. évi külső forrásból fedezhető összes hiány (1.+2.)</t>
  </si>
  <si>
    <t>Önkormányzat 2020. évi bevételi előirányzatai</t>
  </si>
  <si>
    <t>Önkormányzat 2020. évi kiadási előirányzatai</t>
  </si>
  <si>
    <t xml:space="preserve">2020. év </t>
  </si>
  <si>
    <t>2020. év</t>
  </si>
  <si>
    <t>Beledi Szociális és Gyermekjóléti Társulás 2020. évi hozzájárulás</t>
  </si>
  <si>
    <t>2020. évi előirányzat</t>
  </si>
  <si>
    <t>Előirányzat-felhasználási terv
2020. évre</t>
  </si>
  <si>
    <t>A 2020. évi általános működési és ágazati feladatok támogatásának alakulása jogcímenként</t>
  </si>
  <si>
    <t>2020. előtti kifizetés</t>
  </si>
  <si>
    <t>Fűnyírótaraktor beszerzése</t>
  </si>
  <si>
    <t>Jármű beszerzése</t>
  </si>
  <si>
    <t>Székelykapu beszerzése</t>
  </si>
  <si>
    <t>EFOP 152 célcsoport programjaihoz kapcsolódó eszközök</t>
  </si>
  <si>
    <t>Magyar Falu Program -  vicai faluház újraépítése</t>
  </si>
  <si>
    <t>MFP - Egészségház felújítása</t>
  </si>
  <si>
    <t>MFP óvodaudvar - kerítésfelújítás</t>
  </si>
  <si>
    <t>Gyöngyvirág üzletház felújítása</t>
  </si>
  <si>
    <t>19.</t>
  </si>
  <si>
    <t>EFOP-1.5.2-16-2017-00023 Beled és térsége humán szolgáltatásainak fejlesztése</t>
  </si>
  <si>
    <t>Közfoglalkoztatás</t>
  </si>
  <si>
    <t>KEHOP</t>
  </si>
  <si>
    <t>Településfejlesztési projektek</t>
  </si>
  <si>
    <t>Mosonmagyaróvár Nagytérségi Hulladékgazdálkodási Társulás</t>
  </si>
  <si>
    <t>Beledi Ezüstfenyő Nyugdíjas Egyesület</t>
  </si>
  <si>
    <t xml:space="preserve">II.1,4. Óvodapedagógusok  és a nevelőmunkát közvetlenül támogatók bértámogatása </t>
  </si>
  <si>
    <t>2 a.) Család- és gyermekjóléti szolgálat</t>
  </si>
  <si>
    <t>2 c.) Szociális étkeztetés</t>
  </si>
  <si>
    <t>2 da.) Házi segítégnyújtás - szociális segítés</t>
  </si>
  <si>
    <t>2 db.) Házi segítégnyújtás - személyi gondozás</t>
  </si>
  <si>
    <t>2 jb.) Családi bölcsőde</t>
  </si>
  <si>
    <t>2 f.) Időskorúak nappali intézményi ellátása</t>
  </si>
  <si>
    <t>2022.</t>
  </si>
  <si>
    <t>2022. után</t>
  </si>
  <si>
    <t>2019</t>
  </si>
  <si>
    <t xml:space="preserve">11. számú melléklet </t>
  </si>
  <si>
    <t>Kapuvári Óvodáskorú Gyermekekért Alapítvány</t>
  </si>
  <si>
    <t>Kapuvári Sportegyesüet Kyokushin Karate Szakosztály (beledi csoport)</t>
  </si>
  <si>
    <t xml:space="preserve">MFP útfelújítás </t>
  </si>
  <si>
    <t>Vörösmarty utca járda építése</t>
  </si>
  <si>
    <t>nyitott autóbeálló vicai tűzoltószertárhoz</t>
  </si>
  <si>
    <t>kandeláber és hozzá tartozó gömb izzó beszerzése (viharkár miatt)</t>
  </si>
  <si>
    <t>Ifjúság utca járdatrvezés</t>
  </si>
  <si>
    <t xml:space="preserve">Kulturális ágazati pótlék </t>
  </si>
  <si>
    <t>MFP- óvodaudvar játékok beszerzése (2020)</t>
  </si>
  <si>
    <t>Kiegészítő támogatás (I. 1.a)</t>
  </si>
  <si>
    <t>Kiegészítő támogatás (II.)</t>
  </si>
  <si>
    <t>Kiegészítő támogatás (III.2. a-m)</t>
  </si>
  <si>
    <t>III.2 Egyes szociális és gyermekjóléti feladatok támogatás</t>
  </si>
  <si>
    <t>Kiegészítő támogatás (III.3.)</t>
  </si>
  <si>
    <t>III.3.a. Bölcsőde bértámogatás</t>
  </si>
  <si>
    <t>III.3.b. Bölcsőde üzemeltetési támogatás</t>
  </si>
  <si>
    <t>Kiegészítő támogatás (IV.)</t>
  </si>
  <si>
    <t>Kiegészítő támogatás (III.5.)</t>
  </si>
  <si>
    <t>Könyvtári érdekeltségnövelő támogatás</t>
  </si>
  <si>
    <t>MFP - orvosi eszközök beszerzése (2020)</t>
  </si>
  <si>
    <t>Beledi Általános Iskola Diákjaiért Közalapítvány 2019. évi áthúzódó</t>
  </si>
  <si>
    <t>"Előre" Horgász Egyesület</t>
  </si>
  <si>
    <t>A remény hal meg utoljára alapítvány</t>
  </si>
  <si>
    <t>Beled 1912 Sport Egyesület</t>
  </si>
  <si>
    <t>Beled Város Önkéntes Tűzoltóegyesülete</t>
  </si>
  <si>
    <t>Beledi Delta Testépítő Klub</t>
  </si>
  <si>
    <t>Magyar Máltai Szeretetszolgálat</t>
  </si>
  <si>
    <t>Rábaköz Ifjúságáért Egyesület</t>
  </si>
  <si>
    <t>Rábaköz Vidékfejlesztési Egyesület</t>
  </si>
  <si>
    <t>Győri Egyházmegyei Levéltár</t>
  </si>
  <si>
    <t>Egészségház eszközök - önerős</t>
  </si>
  <si>
    <t>Konyha bővítése és eszközbeszerzés</t>
  </si>
  <si>
    <t xml:space="preserve">bútor óvodai csoportba </t>
  </si>
  <si>
    <t>napernyők fogantyúval óvodába</t>
  </si>
  <si>
    <t>zsúrkocsi óvodába</t>
  </si>
  <si>
    <t>szék, fektetőtartó, lepedő, fektető vásárlása óvodába</t>
  </si>
  <si>
    <t>MFP 2020 Beled temető gyalogjárda felújítása</t>
  </si>
  <si>
    <t>MFP 2020 Művelődési ház felújítása</t>
  </si>
  <si>
    <t>MFP 2020 Rákóczi utca útfelújítás</t>
  </si>
  <si>
    <t>Kerékpáros Centrum 16m2 járdakialakítás térkövezési munkái</t>
  </si>
  <si>
    <t>Önkormányzati vagyongazdálkodás</t>
  </si>
  <si>
    <t>Piac üzemeltetése</t>
  </si>
  <si>
    <t>Gyermekétkeztetés köznevelési intézményben</t>
  </si>
  <si>
    <t>Lakhatási támogatás EFOP-1.5.2</t>
  </si>
  <si>
    <t>Szociális tüzelőanyag vásárlása</t>
  </si>
  <si>
    <t>2020</t>
  </si>
  <si>
    <t>2018</t>
  </si>
  <si>
    <t>18.</t>
  </si>
  <si>
    <t>20.</t>
  </si>
  <si>
    <t>21.</t>
  </si>
  <si>
    <t>22.</t>
  </si>
  <si>
    <t>23.</t>
  </si>
  <si>
    <t xml:space="preserve">(5.2. számú mellléklet a 4/2020. (III.13.) önkormányzati rendelethez) </t>
  </si>
  <si>
    <t xml:space="preserve">(5.1. számú mellléklet a 4/2020. (III.13.) önkormányzati rendelethez) </t>
  </si>
  <si>
    <t xml:space="preserve">(4. számú mellléklet a 4/2020. (III.13.) önkormányzati rendelethez) </t>
  </si>
  <si>
    <t xml:space="preserve">(3. számú mellléklet a 4/2020. (III.13.) önkormányzati rendelethez) </t>
  </si>
  <si>
    <t xml:space="preserve">(2. számú mellléklet a 4/2020. (III.13.) önkormányzati rendelethez) </t>
  </si>
  <si>
    <t xml:space="preserve">(1. számú mellléklet a 4/2020. (III.13.) önkormányzati rendelethez) </t>
  </si>
  <si>
    <t xml:space="preserve">(7/b. számú mellléklet a 4/2020. (III.13.) önkormányzati rendelethez) </t>
  </si>
  <si>
    <t xml:space="preserve">6/b. számú melléklet </t>
  </si>
  <si>
    <t xml:space="preserve">(8. számú mellléklet a 4/2020. (III.13.) önkormányzati rendelethez) </t>
  </si>
  <si>
    <t xml:space="preserve">7. számú melléklet </t>
  </si>
  <si>
    <t xml:space="preserve">(9. számú mellléklet a 4/2020. (III.13.) önkormányzati rendelethez) </t>
  </si>
  <si>
    <t xml:space="preserve">8. számú melléklet  </t>
  </si>
  <si>
    <t xml:space="preserve">(10. számú mellléklet a 4/2020. (III.13.) önkormányzati rendelethez) </t>
  </si>
  <si>
    <t xml:space="preserve">9. számú melléklet </t>
  </si>
  <si>
    <t xml:space="preserve">(11. számú mellléklet a 4/2020. (III.13.) önkormányzati rendelethez) </t>
  </si>
  <si>
    <t xml:space="preserve">(12. számú mellléklet a 4/2020. (III.13.) önkormányzati rendelethez) </t>
  </si>
  <si>
    <t xml:space="preserve">(13. számú mellléklet a 4/2020. (III.13.) önkormányzati rendelethez) 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</si>
</sst>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General\ &quot; fő&quot;"/>
    <numFmt numFmtId="169" formatCode="#,###"/>
    <numFmt numFmtId="170" formatCode="#,##0_ ;\-#,##0\ "/>
    <numFmt numFmtId="171" formatCode="#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"/>
    <numFmt numFmtId="177" formatCode="[$€-2]\ #\ ##,000_);[Red]\([$€-2]\ #\ ##,000\)"/>
    <numFmt numFmtId="178" formatCode="###\ ###\ ###\ ###\ ##0.0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\ _F_t_-;\-* #,##0.0\ _F_t_-;_-* &quot;-&quot;??\ _F_t_-;_-@_-"/>
    <numFmt numFmtId="182" formatCode="_-* #,##0\ _F_t_-;\-* #,##0\ _F_t_-;_-* &quot;-&quot;??\ _F_t_-;_-@_-"/>
  </numFmts>
  <fonts count="129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i/>
      <sz val="12"/>
      <name val="MS Sans Serif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7"/>
      <name val="Times New Roman CE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2"/>
    </font>
    <font>
      <sz val="12"/>
      <color rgb="FFFF0000"/>
      <name val="Arial CE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  <fill>
      <patternFill patternType="solid">
        <fgColor theme="6" tint="-0.24997000396251678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84" fillId="12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0" borderId="0" applyNumberFormat="0" applyBorder="0" applyAlignment="0" applyProtection="0"/>
    <xf numFmtId="0" fontId="84" fillId="12" borderId="0" applyNumberFormat="0" applyBorder="0" applyAlignment="0" applyProtection="0"/>
    <xf numFmtId="0" fontId="84" fillId="9" borderId="0" applyNumberFormat="0" applyBorder="0" applyAlignment="0" applyProtection="0"/>
    <xf numFmtId="0" fontId="84" fillId="29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95" fillId="33" borderId="0" applyNumberFormat="0" applyBorder="0" applyAlignment="0" applyProtection="0"/>
    <xf numFmtId="0" fontId="108" fillId="34" borderId="1" applyNumberFormat="0" applyAlignment="0" applyProtection="0"/>
    <xf numFmtId="0" fontId="97" fillId="35" borderId="2" applyNumberFormat="0" applyAlignment="0" applyProtection="0"/>
    <xf numFmtId="0" fontId="90" fillId="36" borderId="3" applyNumberFormat="0" applyAlignment="0" applyProtection="0"/>
    <xf numFmtId="0" fontId="109" fillId="0" borderId="0" applyNumberFormat="0" applyFill="0" applyBorder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2" fillId="0" borderId="0" applyNumberFormat="0" applyFill="0" applyBorder="0" applyAlignment="0" applyProtection="0"/>
    <xf numFmtId="0" fontId="113" fillId="37" borderId="7" applyNumberFormat="0" applyAlignment="0" applyProtection="0"/>
    <xf numFmtId="0" fontId="9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92" fillId="12" borderId="0" applyNumberFormat="0" applyBorder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9" fillId="0" borderId="10" applyNumberFormat="0" applyFill="0" applyAlignment="0" applyProtection="0"/>
    <xf numFmtId="0" fontId="8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85" fillId="19" borderId="2" applyNumberFormat="0" applyAlignment="0" applyProtection="0"/>
    <xf numFmtId="0" fontId="0" fillId="38" borderId="12" applyNumberFormat="0" applyFont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4" borderId="0" applyNumberFormat="0" applyBorder="0" applyAlignment="0" applyProtection="0"/>
    <xf numFmtId="0" fontId="116" fillId="45" borderId="0" applyNumberFormat="0" applyBorder="0" applyAlignment="0" applyProtection="0"/>
    <xf numFmtId="0" fontId="117" fillId="46" borderId="13" applyNumberFormat="0" applyAlignment="0" applyProtection="0"/>
    <xf numFmtId="0" fontId="60" fillId="0" borderId="0" applyNumberFormat="0" applyFill="0" applyBorder="0" applyAlignment="0" applyProtection="0"/>
    <xf numFmtId="0" fontId="91" fillId="0" borderId="14" applyNumberFormat="0" applyFill="0" applyAlignment="0" applyProtection="0"/>
    <xf numFmtId="0" fontId="11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6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10" borderId="15" applyNumberFormat="0" applyAlignment="0" applyProtection="0"/>
    <xf numFmtId="0" fontId="93" fillId="35" borderId="16" applyNumberFormat="0" applyAlignment="0" applyProtection="0"/>
    <xf numFmtId="0" fontId="1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47" borderId="0" applyNumberFormat="0" applyBorder="0" applyAlignment="0" applyProtection="0"/>
    <xf numFmtId="0" fontId="121" fillId="48" borderId="0" applyNumberFormat="0" applyBorder="0" applyAlignment="0" applyProtection="0"/>
    <xf numFmtId="0" fontId="122" fillId="46" borderId="1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91" fillId="0" borderId="0" applyNumberFormat="0" applyFill="0" applyBorder="0" applyAlignment="0" applyProtection="0"/>
  </cellStyleXfs>
  <cellXfs count="15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2">
      <alignment/>
      <protection/>
    </xf>
    <xf numFmtId="0" fontId="17" fillId="0" borderId="0" xfId="102" applyFont="1" applyAlignment="1">
      <alignment horizontal="center"/>
      <protection/>
    </xf>
    <xf numFmtId="0" fontId="11" fillId="0" borderId="0" xfId="102" applyAlignment="1">
      <alignment vertical="center"/>
      <protection/>
    </xf>
    <xf numFmtId="0" fontId="13" fillId="0" borderId="0" xfId="102" applyFont="1">
      <alignment/>
      <protection/>
    </xf>
    <xf numFmtId="0" fontId="11" fillId="0" borderId="0" xfId="102" applyFont="1">
      <alignment/>
      <protection/>
    </xf>
    <xf numFmtId="0" fontId="11" fillId="0" borderId="0" xfId="102" applyFont="1" applyFill="1">
      <alignment/>
      <protection/>
    </xf>
    <xf numFmtId="0" fontId="0" fillId="0" borderId="0" xfId="0" applyFont="1" applyAlignment="1">
      <alignment wrapText="1"/>
    </xf>
    <xf numFmtId="0" fontId="0" fillId="0" borderId="19" xfId="10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2" applyNumberForma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5" fillId="0" borderId="20" xfId="102" applyFont="1" applyBorder="1" applyAlignment="1">
      <alignment wrapText="1"/>
      <protection/>
    </xf>
    <xf numFmtId="0" fontId="15" fillId="0" borderId="20" xfId="102" applyFont="1" applyFill="1" applyBorder="1" applyAlignment="1">
      <alignment wrapText="1"/>
      <protection/>
    </xf>
    <xf numFmtId="0" fontId="12" fillId="0" borderId="21" xfId="102" applyFont="1" applyBorder="1" applyAlignment="1">
      <alignment wrapText="1"/>
      <protection/>
    </xf>
    <xf numFmtId="3" fontId="34" fillId="0" borderId="22" xfId="102" applyNumberFormat="1" applyFont="1" applyFill="1" applyBorder="1" applyAlignment="1">
      <alignment horizontal="right"/>
      <protection/>
    </xf>
    <xf numFmtId="0" fontId="34" fillId="0" borderId="22" xfId="102" applyFont="1" applyBorder="1" applyAlignment="1">
      <alignment horizontal="right"/>
      <protection/>
    </xf>
    <xf numFmtId="3" fontId="34" fillId="0" borderId="23" xfId="102" applyNumberFormat="1" applyFont="1" applyBorder="1" applyAlignment="1">
      <alignment horizontal="right"/>
      <protection/>
    </xf>
    <xf numFmtId="3" fontId="34" fillId="0" borderId="22" xfId="102" applyNumberFormat="1" applyFont="1" applyBorder="1" applyAlignment="1">
      <alignment horizontal="right"/>
      <protection/>
    </xf>
    <xf numFmtId="3" fontId="18" fillId="0" borderId="24" xfId="68" applyNumberFormat="1" applyFont="1" applyBorder="1" applyAlignment="1">
      <alignment horizontal="right" vertical="center"/>
    </xf>
    <xf numFmtId="3" fontId="18" fillId="0" borderId="24" xfId="102" applyNumberFormat="1" applyFont="1" applyBorder="1" applyAlignment="1">
      <alignment horizontal="right"/>
      <protection/>
    </xf>
    <xf numFmtId="0" fontId="11" fillId="0" borderId="25" xfId="102" applyFont="1" applyBorder="1" applyAlignment="1">
      <alignment horizontal="center" vertical="center"/>
      <protection/>
    </xf>
    <xf numFmtId="0" fontId="11" fillId="0" borderId="20" xfId="102" applyFont="1" applyBorder="1" applyAlignment="1">
      <alignment horizontal="center" vertical="center"/>
      <protection/>
    </xf>
    <xf numFmtId="3" fontId="12" fillId="0" borderId="0" xfId="102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2" xfId="102" applyFont="1" applyFill="1" applyBorder="1" applyAlignment="1">
      <alignment horizontal="left" vertical="center" wrapText="1"/>
      <protection/>
    </xf>
    <xf numFmtId="0" fontId="0" fillId="0" borderId="20" xfId="102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2" applyFont="1" applyBorder="1" applyAlignment="1">
      <alignment horizontal="right" vertical="center"/>
      <protection/>
    </xf>
    <xf numFmtId="0" fontId="22" fillId="0" borderId="0" xfId="102" applyFont="1" applyAlignment="1">
      <alignment horizontal="center" vertical="center"/>
      <protection/>
    </xf>
    <xf numFmtId="3" fontId="15" fillId="0" borderId="22" xfId="102" applyNumberFormat="1" applyFont="1" applyFill="1" applyBorder="1" applyAlignment="1">
      <alignment horizontal="right" vertical="center"/>
      <protection/>
    </xf>
    <xf numFmtId="3" fontId="3" fillId="0" borderId="2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4" fillId="0" borderId="23" xfId="102" applyNumberFormat="1" applyFont="1" applyFill="1" applyBorder="1" applyAlignment="1">
      <alignment horizontal="right"/>
      <protection/>
    </xf>
    <xf numFmtId="3" fontId="34" fillId="0" borderId="27" xfId="102" applyNumberFormat="1" applyFont="1" applyBorder="1" applyAlignment="1">
      <alignment horizontal="right"/>
      <protection/>
    </xf>
    <xf numFmtId="0" fontId="15" fillId="0" borderId="28" xfId="102" applyFont="1" applyBorder="1" applyAlignment="1">
      <alignment wrapText="1"/>
      <protection/>
    </xf>
    <xf numFmtId="0" fontId="30" fillId="0" borderId="22" xfId="102" applyFont="1" applyFill="1" applyBorder="1" applyAlignment="1">
      <alignment vertical="center"/>
      <protection/>
    </xf>
    <xf numFmtId="0" fontId="14" fillId="0" borderId="29" xfId="0" applyFont="1" applyFill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1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1" fillId="0" borderId="0" xfId="0" applyFont="1" applyAlignment="1">
      <alignment wrapText="1"/>
    </xf>
    <xf numFmtId="49" fontId="7" fillId="0" borderId="31" xfId="0" applyNumberFormat="1" applyFont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49" fontId="0" fillId="0" borderId="35" xfId="0" applyNumberFormat="1" applyFont="1" applyBorder="1" applyAlignment="1">
      <alignment horizontal="left"/>
    </xf>
    <xf numFmtId="49" fontId="7" fillId="0" borderId="36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6" fillId="0" borderId="33" xfId="0" applyFont="1" applyBorder="1" applyAlignment="1">
      <alignment/>
    </xf>
    <xf numFmtId="3" fontId="3" fillId="0" borderId="26" xfId="0" applyNumberFormat="1" applyFont="1" applyFill="1" applyBorder="1" applyAlignment="1">
      <alignment horizontal="right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5" xfId="0" applyNumberFormat="1" applyFont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3" fontId="7" fillId="0" borderId="27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9" fontId="28" fillId="0" borderId="0" xfId="0" applyNumberFormat="1" applyFont="1" applyFill="1" applyAlignment="1" applyProtection="1">
      <alignment horizontal="left" vertical="center" wrapText="1"/>
      <protection/>
    </xf>
    <xf numFmtId="169" fontId="28" fillId="0" borderId="0" xfId="0" applyNumberFormat="1" applyFont="1" applyFill="1" applyAlignment="1" applyProtection="1">
      <alignment vertical="center" wrapText="1"/>
      <protection/>
    </xf>
    <xf numFmtId="169" fontId="42" fillId="0" borderId="0" xfId="0" applyNumberFormat="1" applyFont="1" applyFill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right" vertical="top"/>
      <protection locked="0"/>
    </xf>
    <xf numFmtId="169" fontId="28" fillId="0" borderId="0" xfId="0" applyNumberFormat="1" applyFont="1" applyFill="1" applyAlignment="1">
      <alignment vertical="center" wrapText="1"/>
    </xf>
    <xf numFmtId="0" fontId="44" fillId="0" borderId="0" xfId="0" applyFont="1" applyAlignment="1" applyProtection="1">
      <alignment horizontal="right" vertical="top"/>
      <protection locked="0"/>
    </xf>
    <xf numFmtId="169" fontId="45" fillId="0" borderId="0" xfId="0" applyNumberFormat="1" applyFont="1" applyFill="1" applyAlignment="1" applyProtection="1">
      <alignment vertical="center" wrapText="1"/>
      <protection locked="0"/>
    </xf>
    <xf numFmtId="0" fontId="39" fillId="0" borderId="0" xfId="0" applyFont="1" applyFill="1" applyAlignment="1">
      <alignment vertical="center"/>
    </xf>
    <xf numFmtId="0" fontId="42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/>
      <protection/>
    </xf>
    <xf numFmtId="0" fontId="26" fillId="0" borderId="0" xfId="0" applyFont="1" applyFill="1" applyAlignment="1">
      <alignment vertical="center"/>
    </xf>
    <xf numFmtId="0" fontId="42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46" fillId="0" borderId="39" xfId="0" applyFont="1" applyFill="1" applyBorder="1" applyAlignment="1" applyProtection="1">
      <alignment horizontal="center" vertical="center" wrapText="1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46" fillId="0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>
      <alignment horizontal="center" vertical="center" wrapText="1"/>
    </xf>
    <xf numFmtId="0" fontId="42" fillId="0" borderId="35" xfId="0" applyFont="1" applyFill="1" applyBorder="1" applyAlignment="1" applyProtection="1">
      <alignment horizontal="center" vertical="center" wrapText="1"/>
      <protection/>
    </xf>
    <xf numFmtId="0" fontId="42" fillId="0" borderId="36" xfId="0" applyFont="1" applyFill="1" applyBorder="1" applyAlignment="1" applyProtection="1">
      <alignment horizontal="center" vertical="center" wrapText="1"/>
      <protection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169" fontId="46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>
      <alignment vertical="center" wrapText="1"/>
    </xf>
    <xf numFmtId="0" fontId="46" fillId="0" borderId="19" xfId="0" applyFont="1" applyFill="1" applyBorder="1" applyAlignment="1" applyProtection="1">
      <alignment horizontal="center" vertical="center" wrapText="1"/>
      <protection/>
    </xf>
    <xf numFmtId="49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46" fillId="0" borderId="20" xfId="0" applyFont="1" applyFill="1" applyBorder="1" applyAlignment="1" applyProtection="1">
      <alignment horizontal="center" vertical="center" wrapText="1"/>
      <protection/>
    </xf>
    <xf numFmtId="169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>
      <alignment vertical="center" wrapText="1"/>
    </xf>
    <xf numFmtId="0" fontId="46" fillId="0" borderId="41" xfId="0" applyFont="1" applyFill="1" applyBorder="1" applyAlignment="1" applyProtection="1">
      <alignment horizontal="center" vertical="center" wrapText="1"/>
      <protection/>
    </xf>
    <xf numFmtId="0" fontId="46" fillId="0" borderId="39" xfId="0" applyFont="1" applyFill="1" applyBorder="1" applyAlignment="1" applyProtection="1">
      <alignment horizontal="center" vertical="center" wrapText="1"/>
      <protection/>
    </xf>
    <xf numFmtId="0" fontId="46" fillId="0" borderId="26" xfId="104" applyFont="1" applyFill="1" applyBorder="1" applyAlignment="1" applyProtection="1">
      <alignment horizontal="left" vertical="center" wrapText="1" indent="1"/>
      <protection/>
    </xf>
    <xf numFmtId="0" fontId="46" fillId="0" borderId="19" xfId="0" applyFont="1" applyFill="1" applyBorder="1" applyAlignment="1" applyProtection="1">
      <alignment horizontal="center" vertical="center" wrapText="1"/>
      <protection/>
    </xf>
    <xf numFmtId="49" fontId="38" fillId="0" borderId="42" xfId="0" applyNumberFormat="1" applyFont="1" applyFill="1" applyBorder="1" applyAlignment="1" applyProtection="1">
      <alignment horizontal="center" vertical="center" wrapText="1"/>
      <protection/>
    </xf>
    <xf numFmtId="169" fontId="3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44" xfId="0" applyFont="1" applyFill="1" applyBorder="1" applyAlignment="1" applyProtection="1">
      <alignment horizontal="center" vertical="center" wrapText="1"/>
      <protection/>
    </xf>
    <xf numFmtId="49" fontId="38" fillId="0" borderId="45" xfId="0" applyNumberFormat="1" applyFont="1" applyFill="1" applyBorder="1" applyAlignment="1" applyProtection="1">
      <alignment horizontal="center" vertical="center" wrapText="1"/>
      <protection/>
    </xf>
    <xf numFmtId="169" fontId="3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26" xfId="104" applyNumberFormat="1" applyFont="1" applyFill="1" applyBorder="1" applyAlignment="1" applyProtection="1">
      <alignment horizontal="left" vertical="center" wrapText="1" indent="1"/>
      <protection/>
    </xf>
    <xf numFmtId="0" fontId="47" fillId="0" borderId="47" xfId="0" applyFont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49" fontId="38" fillId="0" borderId="42" xfId="104" applyNumberFormat="1" applyFont="1" applyFill="1" applyBorder="1" applyAlignment="1" applyProtection="1">
      <alignment horizontal="left" vertical="center" wrapText="1" inden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49" fontId="38" fillId="0" borderId="24" xfId="104" applyNumberFormat="1" applyFont="1" applyFill="1" applyBorder="1" applyAlignment="1" applyProtection="1">
      <alignment horizontal="left" vertical="center" wrapText="1" indent="1"/>
      <protection/>
    </xf>
    <xf numFmtId="169" fontId="3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39" xfId="0" applyFont="1" applyBorder="1" applyAlignment="1" applyProtection="1">
      <alignment horizontal="center" vertical="center" wrapText="1"/>
      <protection/>
    </xf>
    <xf numFmtId="0" fontId="48" fillId="0" borderId="49" xfId="0" applyFont="1" applyBorder="1" applyAlignment="1" applyProtection="1">
      <alignment horizontal="center" wrapText="1"/>
      <protection/>
    </xf>
    <xf numFmtId="0" fontId="49" fillId="0" borderId="49" xfId="0" applyFont="1" applyBorder="1" applyAlignment="1" applyProtection="1">
      <alignment horizontal="center" wrapText="1"/>
      <protection/>
    </xf>
    <xf numFmtId="169" fontId="46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left" vertical="center" wrapText="1" indent="1"/>
      <protection/>
    </xf>
    <xf numFmtId="169" fontId="4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1" fillId="0" borderId="0" xfId="0" applyFont="1" applyFill="1" applyAlignment="1">
      <alignment vertical="center" wrapText="1"/>
    </xf>
    <xf numFmtId="0" fontId="38" fillId="0" borderId="0" xfId="0" applyFont="1" applyFill="1" applyAlignment="1" applyProtection="1">
      <alignment horizontal="left" vertical="center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0" borderId="0" xfId="0" applyFont="1" applyFill="1" applyAlignment="1" applyProtection="1">
      <alignment horizontal="right" vertical="center" wrapText="1" indent="1"/>
      <protection/>
    </xf>
    <xf numFmtId="0" fontId="46" fillId="0" borderId="30" xfId="0" applyFont="1" applyFill="1" applyBorder="1" applyAlignment="1" applyProtection="1">
      <alignment horizontal="center" vertical="center" wrapText="1"/>
      <protection/>
    </xf>
    <xf numFmtId="0" fontId="46" fillId="0" borderId="37" xfId="0" applyFont="1" applyFill="1" applyBorder="1" applyAlignment="1" applyProtection="1">
      <alignment horizontal="center" vertical="center" wrapText="1"/>
      <protection/>
    </xf>
    <xf numFmtId="0" fontId="42" fillId="0" borderId="37" xfId="0" applyFont="1" applyFill="1" applyBorder="1" applyAlignment="1" applyProtection="1">
      <alignment horizontal="center" vertical="center" wrapText="1"/>
      <protection/>
    </xf>
    <xf numFmtId="0" fontId="46" fillId="0" borderId="26" xfId="104" applyFont="1" applyFill="1" applyBorder="1" applyAlignment="1" applyProtection="1">
      <alignment horizontal="left" vertical="center" wrapText="1" indent="1"/>
      <protection/>
    </xf>
    <xf numFmtId="0" fontId="46" fillId="0" borderId="25" xfId="0" applyFont="1" applyFill="1" applyBorder="1" applyAlignment="1" applyProtection="1">
      <alignment horizontal="center" vertical="center" wrapText="1"/>
      <protection/>
    </xf>
    <xf numFmtId="49" fontId="38" fillId="0" borderId="45" xfId="104" applyNumberFormat="1" applyFont="1" applyFill="1" applyBorder="1" applyAlignment="1" applyProtection="1">
      <alignment horizontal="left" vertical="center" wrapText="1" indent="1"/>
      <protection/>
    </xf>
    <xf numFmtId="0" fontId="46" fillId="0" borderId="20" xfId="0" applyFont="1" applyFill="1" applyBorder="1" applyAlignment="1" applyProtection="1">
      <alignment horizontal="center" vertical="center" wrapText="1"/>
      <protection/>
    </xf>
    <xf numFmtId="49" fontId="38" fillId="0" borderId="22" xfId="104" applyNumberFormat="1" applyFont="1" applyFill="1" applyBorder="1" applyAlignment="1" applyProtection="1">
      <alignment horizontal="left" vertical="center" wrapText="1" indent="1"/>
      <protection/>
    </xf>
    <xf numFmtId="169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26" xfId="0" applyFont="1" applyFill="1" applyBorder="1" applyAlignment="1" applyProtection="1">
      <alignment horizontal="center" vertical="center" wrapText="1"/>
      <protection/>
    </xf>
    <xf numFmtId="169" fontId="46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39" xfId="0" applyFont="1" applyFill="1" applyBorder="1" applyAlignment="1" applyProtection="1">
      <alignment horizontal="left" vertical="center"/>
      <protection/>
    </xf>
    <xf numFmtId="0" fontId="52" fillId="0" borderId="37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9" fontId="46" fillId="0" borderId="37" xfId="0" applyNumberFormat="1" applyFont="1" applyFill="1" applyBorder="1" applyAlignment="1" applyProtection="1">
      <alignment horizontal="right" vertical="center" wrapText="1" indent="1"/>
      <protection/>
    </xf>
    <xf numFmtId="169" fontId="42" fillId="0" borderId="27" xfId="0" applyNumberFormat="1" applyFont="1" applyFill="1" applyBorder="1" applyAlignment="1" applyProtection="1">
      <alignment horizontal="center" vertical="center" wrapText="1"/>
      <protection/>
    </xf>
    <xf numFmtId="169" fontId="46" fillId="0" borderId="26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38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26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9" fontId="0" fillId="0" borderId="0" xfId="0" applyNumberFormat="1" applyFill="1" applyAlignment="1">
      <alignment vertical="center" wrapText="1"/>
    </xf>
    <xf numFmtId="0" fontId="28" fillId="0" borderId="0" xfId="104" applyFill="1">
      <alignment/>
      <protection/>
    </xf>
    <xf numFmtId="3" fontId="38" fillId="0" borderId="0" xfId="104" applyNumberFormat="1" applyFont="1" applyFill="1" applyBorder="1">
      <alignment/>
      <protection/>
    </xf>
    <xf numFmtId="169" fontId="38" fillId="0" borderId="0" xfId="104" applyNumberFormat="1" applyFont="1" applyFill="1" applyBorder="1">
      <alignment/>
      <protection/>
    </xf>
    <xf numFmtId="0" fontId="46" fillId="0" borderId="39" xfId="104" applyFont="1" applyFill="1" applyBorder="1" applyAlignment="1" applyProtection="1">
      <alignment horizontal="left" vertical="center" wrapText="1" indent="1"/>
      <protection/>
    </xf>
    <xf numFmtId="0" fontId="54" fillId="0" borderId="0" xfId="104" applyFont="1" applyFill="1">
      <alignment/>
      <protection/>
    </xf>
    <xf numFmtId="49" fontId="38" fillId="0" borderId="0" xfId="104" applyNumberFormat="1" applyFont="1" applyFill="1" applyBorder="1" applyAlignment="1" applyProtection="1">
      <alignment horizontal="left" vertical="center" wrapText="1" indent="1"/>
      <protection/>
    </xf>
    <xf numFmtId="0" fontId="38" fillId="0" borderId="0" xfId="104" applyFont="1" applyFill="1" applyBorder="1" applyAlignment="1" applyProtection="1">
      <alignment horizontal="left" indent="5"/>
      <protection/>
    </xf>
    <xf numFmtId="3" fontId="38" fillId="0" borderId="0" xfId="104" applyNumberFormat="1" applyFont="1" applyFill="1" applyBorder="1" applyAlignment="1" applyProtection="1">
      <alignment horizontal="right" vertical="center" wrapText="1"/>
      <protection/>
    </xf>
    <xf numFmtId="0" fontId="39" fillId="0" borderId="0" xfId="104" applyFont="1" applyFill="1" applyAlignment="1">
      <alignment horizontal="center" wrapText="1"/>
      <protection/>
    </xf>
    <xf numFmtId="3" fontId="38" fillId="0" borderId="0" xfId="104" applyNumberFormat="1" applyFont="1" applyFill="1">
      <alignment/>
      <protection/>
    </xf>
    <xf numFmtId="0" fontId="38" fillId="0" borderId="0" xfId="104" applyFont="1" applyFill="1">
      <alignment/>
      <protection/>
    </xf>
    <xf numFmtId="49" fontId="20" fillId="0" borderId="0" xfId="0" applyNumberFormat="1" applyFont="1" applyAlignment="1">
      <alignment vertical="center"/>
    </xf>
    <xf numFmtId="0" fontId="33" fillId="0" borderId="0" xfId="0" applyFont="1" applyBorder="1" applyAlignment="1">
      <alignment vertical="center"/>
    </xf>
    <xf numFmtId="49" fontId="7" fillId="0" borderId="53" xfId="0" applyNumberFormat="1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5" fillId="0" borderId="28" xfId="102" applyFont="1" applyFill="1" applyBorder="1" applyAlignment="1">
      <alignment wrapText="1"/>
      <protection/>
    </xf>
    <xf numFmtId="0" fontId="46" fillId="0" borderId="19" xfId="104" applyFont="1" applyFill="1" applyBorder="1" applyAlignment="1" applyProtection="1">
      <alignment horizontal="left" vertical="center" wrapText="1" indent="1"/>
      <protection/>
    </xf>
    <xf numFmtId="49" fontId="46" fillId="0" borderId="20" xfId="104" applyNumberFormat="1" applyFont="1" applyFill="1" applyBorder="1" applyAlignment="1" applyProtection="1">
      <alignment horizontal="left" vertical="center" wrapText="1" indent="1"/>
      <protection/>
    </xf>
    <xf numFmtId="49" fontId="46" fillId="0" borderId="21" xfId="104" applyNumberFormat="1" applyFont="1" applyFill="1" applyBorder="1" applyAlignment="1" applyProtection="1">
      <alignment horizontal="left" vertical="center" wrapText="1" indent="1"/>
      <protection/>
    </xf>
    <xf numFmtId="169" fontId="28" fillId="0" borderId="0" xfId="0" applyNumberFormat="1" applyFont="1" applyFill="1" applyBorder="1" applyAlignment="1" applyProtection="1">
      <alignment horizontal="left" vertical="center" wrapText="1"/>
      <protection/>
    </xf>
    <xf numFmtId="169" fontId="25" fillId="0" borderId="26" xfId="104" applyNumberFormat="1" applyFont="1" applyFill="1" applyBorder="1" applyAlignment="1" applyProtection="1">
      <alignment horizontal="right" vertical="center" wrapText="1"/>
      <protection/>
    </xf>
    <xf numFmtId="169" fontId="35" fillId="0" borderId="54" xfId="104" applyNumberFormat="1" applyFont="1" applyFill="1" applyBorder="1" applyAlignment="1" applyProtection="1">
      <alignment horizontal="left" vertical="center"/>
      <protection/>
    </xf>
    <xf numFmtId="3" fontId="25" fillId="0" borderId="42" xfId="104" applyNumberFormat="1" applyFont="1" applyFill="1" applyBorder="1" applyAlignment="1" applyProtection="1">
      <alignment horizontal="right" vertical="center" wrapText="1"/>
      <protection/>
    </xf>
    <xf numFmtId="3" fontId="25" fillId="0" borderId="22" xfId="104" applyNumberFormat="1" applyFont="1" applyFill="1" applyBorder="1" applyAlignment="1" applyProtection="1">
      <alignment horizontal="right" vertical="center" wrapText="1"/>
      <protection/>
    </xf>
    <xf numFmtId="3" fontId="25" fillId="0" borderId="24" xfId="104" applyNumberFormat="1" applyFont="1" applyFill="1" applyBorder="1" applyAlignment="1" applyProtection="1">
      <alignment horizontal="right" vertical="center" wrapText="1"/>
      <protection/>
    </xf>
    <xf numFmtId="49" fontId="36" fillId="0" borderId="20" xfId="104" applyNumberFormat="1" applyFont="1" applyFill="1" applyBorder="1" applyAlignment="1" applyProtection="1">
      <alignment horizontal="left" vertical="center" wrapText="1"/>
      <protection/>
    </xf>
    <xf numFmtId="49" fontId="27" fillId="0" borderId="20" xfId="104" applyNumberFormat="1" applyFont="1" applyFill="1" applyBorder="1" applyAlignment="1">
      <alignment horizontal="left"/>
      <protection/>
    </xf>
    <xf numFmtId="49" fontId="27" fillId="0" borderId="20" xfId="104" applyNumberFormat="1" applyFont="1" applyFill="1" applyBorder="1" applyAlignment="1" applyProtection="1">
      <alignment horizontal="left" vertical="center" wrapText="1"/>
      <protection/>
    </xf>
    <xf numFmtId="0" fontId="25" fillId="0" borderId="19" xfId="104" applyFont="1" applyFill="1" applyBorder="1" applyAlignment="1">
      <alignment horizontal="center"/>
      <protection/>
    </xf>
    <xf numFmtId="3" fontId="25" fillId="0" borderId="42" xfId="104" applyNumberFormat="1" applyFont="1" applyFill="1" applyBorder="1">
      <alignment/>
      <protection/>
    </xf>
    <xf numFmtId="3" fontId="27" fillId="0" borderId="22" xfId="104" applyNumberFormat="1" applyFont="1" applyFill="1" applyBorder="1">
      <alignment/>
      <protection/>
    </xf>
    <xf numFmtId="169" fontId="27" fillId="0" borderId="22" xfId="104" applyNumberFormat="1" applyFont="1" applyFill="1" applyBorder="1">
      <alignment/>
      <protection/>
    </xf>
    <xf numFmtId="49" fontId="36" fillId="0" borderId="21" xfId="104" applyNumberFormat="1" applyFont="1" applyFill="1" applyBorder="1" applyAlignment="1">
      <alignment horizontal="left"/>
      <protection/>
    </xf>
    <xf numFmtId="3" fontId="27" fillId="0" borderId="24" xfId="104" applyNumberFormat="1" applyFont="1" applyFill="1" applyBorder="1">
      <alignment/>
      <protection/>
    </xf>
    <xf numFmtId="169" fontId="25" fillId="0" borderId="51" xfId="104" applyNumberFormat="1" applyFont="1" applyFill="1" applyBorder="1" applyAlignment="1" applyProtection="1">
      <alignment horizontal="right" vertical="center" wrapText="1"/>
      <protection/>
    </xf>
    <xf numFmtId="169" fontId="25" fillId="0" borderId="42" xfId="104" applyNumberFormat="1" applyFont="1" applyFill="1" applyBorder="1" applyAlignment="1" applyProtection="1">
      <alignment horizontal="right" vertical="center" wrapText="1"/>
      <protection/>
    </xf>
    <xf numFmtId="169" fontId="25" fillId="0" borderId="22" xfId="104" applyNumberFormat="1" applyFont="1" applyFill="1" applyBorder="1" applyAlignment="1" applyProtection="1">
      <alignment horizontal="right" vertical="center" wrapText="1"/>
      <protection/>
    </xf>
    <xf numFmtId="3" fontId="18" fillId="0" borderId="48" xfId="102" applyNumberFormat="1" applyFont="1" applyBorder="1" applyAlignment="1">
      <alignment horizontal="right"/>
      <protection/>
    </xf>
    <xf numFmtId="0" fontId="7" fillId="0" borderId="5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9" fontId="4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9" fontId="42" fillId="0" borderId="38" xfId="0" applyNumberFormat="1" applyFont="1" applyFill="1" applyBorder="1" applyAlignment="1" applyProtection="1">
      <alignment horizontal="center" vertical="center" wrapText="1"/>
      <protection/>
    </xf>
    <xf numFmtId="169" fontId="42" fillId="0" borderId="56" xfId="0" applyNumberFormat="1" applyFont="1" applyFill="1" applyBorder="1" applyAlignment="1" applyProtection="1">
      <alignment horizontal="center" vertical="center" wrapText="1"/>
      <protection/>
    </xf>
    <xf numFmtId="169" fontId="46" fillId="0" borderId="49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49" xfId="0" applyNumberFormat="1" applyFont="1" applyFill="1" applyBorder="1" applyAlignment="1" applyProtection="1">
      <alignment horizontal="right" vertical="center" wrapText="1" indent="1"/>
      <protection/>
    </xf>
    <xf numFmtId="169" fontId="42" fillId="0" borderId="29" xfId="0" applyNumberFormat="1" applyFont="1" applyFill="1" applyBorder="1" applyAlignment="1" applyProtection="1">
      <alignment horizontal="center" vertical="center" wrapText="1"/>
      <protection/>
    </xf>
    <xf numFmtId="169" fontId="42" fillId="0" borderId="58" xfId="0" applyNumberFormat="1" applyFont="1" applyFill="1" applyBorder="1" applyAlignment="1" applyProtection="1">
      <alignment horizontal="center" vertical="center" wrapText="1"/>
      <protection/>
    </xf>
    <xf numFmtId="169" fontId="46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6" xfId="0" applyNumberFormat="1" applyFont="1" applyFill="1" applyBorder="1" applyAlignment="1">
      <alignment horizontal="right" vertical="center" wrapText="1"/>
    </xf>
    <xf numFmtId="3" fontId="7" fillId="49" borderId="45" xfId="0" applyNumberFormat="1" applyFont="1" applyFill="1" applyBorder="1" applyAlignment="1">
      <alignment horizontal="right" vertical="center" wrapText="1"/>
    </xf>
    <xf numFmtId="3" fontId="7" fillId="49" borderId="22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7" fillId="0" borderId="45" xfId="0" applyNumberFormat="1" applyFont="1" applyFill="1" applyBorder="1" applyAlignment="1">
      <alignment vertical="center"/>
    </xf>
    <xf numFmtId="0" fontId="39" fillId="0" borderId="0" xfId="104" applyFont="1" applyFill="1" applyBorder="1" applyAlignment="1">
      <alignment horizontal="center" wrapText="1"/>
      <protection/>
    </xf>
    <xf numFmtId="0" fontId="3" fillId="0" borderId="37" xfId="0" applyFont="1" applyFill="1" applyBorder="1" applyAlignment="1">
      <alignment horizontal="center" vertical="center" wrapText="1"/>
    </xf>
    <xf numFmtId="0" fontId="39" fillId="0" borderId="0" xfId="104" applyFont="1" applyFill="1" applyAlignment="1">
      <alignment horizontal="center"/>
      <protection/>
    </xf>
    <xf numFmtId="0" fontId="3" fillId="0" borderId="3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6" fillId="0" borderId="60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>
      <alignment horizontal="centerContinuous" vertical="center" wrapText="1"/>
    </xf>
    <xf numFmtId="0" fontId="12" fillId="1" borderId="25" xfId="102" applyFont="1" applyFill="1" applyBorder="1" applyAlignment="1">
      <alignment horizontal="center" vertical="center" wrapText="1"/>
      <protection/>
    </xf>
    <xf numFmtId="0" fontId="12" fillId="1" borderId="45" xfId="102" applyFont="1" applyFill="1" applyBorder="1" applyAlignment="1">
      <alignment horizontal="center" vertical="center"/>
      <protection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42" fillId="0" borderId="30" xfId="0" applyFont="1" applyFill="1" applyBorder="1" applyAlignment="1" applyProtection="1">
      <alignment horizontal="center" vertical="center" wrapText="1"/>
      <protection/>
    </xf>
    <xf numFmtId="0" fontId="42" fillId="0" borderId="49" xfId="0" applyFont="1" applyFill="1" applyBorder="1" applyAlignment="1" applyProtection="1">
      <alignment horizontal="center" vertical="center" wrapText="1"/>
      <protection/>
    </xf>
    <xf numFmtId="0" fontId="11" fillId="0" borderId="0" xfId="102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59" fillId="0" borderId="49" xfId="0" applyFont="1" applyBorder="1" applyAlignment="1" applyProtection="1">
      <alignment horizontal="center" wrapText="1"/>
      <protection/>
    </xf>
    <xf numFmtId="0" fontId="44" fillId="0" borderId="49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9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3" fillId="0" borderId="30" xfId="102" applyFont="1" applyBorder="1" applyAlignment="1">
      <alignment horizontal="center" vertical="center"/>
      <protection/>
    </xf>
    <xf numFmtId="3" fontId="13" fillId="0" borderId="25" xfId="102" applyNumberFormat="1" applyFont="1" applyFill="1" applyBorder="1" applyAlignment="1">
      <alignment vertical="center"/>
      <protection/>
    </xf>
    <xf numFmtId="0" fontId="11" fillId="0" borderId="33" xfId="102" applyFont="1" applyBorder="1" applyAlignment="1">
      <alignment vertical="center" wrapText="1"/>
      <protection/>
    </xf>
    <xf numFmtId="0" fontId="11" fillId="0" borderId="31" xfId="102" applyFont="1" applyBorder="1" applyAlignment="1">
      <alignment vertical="center" wrapText="1"/>
      <protection/>
    </xf>
    <xf numFmtId="0" fontId="11" fillId="0" borderId="35" xfId="102" applyFont="1" applyBorder="1" applyAlignment="1">
      <alignment vertical="center" wrapText="1"/>
      <protection/>
    </xf>
    <xf numFmtId="0" fontId="11" fillId="0" borderId="61" xfId="102" applyFont="1" applyBorder="1" applyAlignment="1">
      <alignment vertical="center" wrapText="1"/>
      <protection/>
    </xf>
    <xf numFmtId="0" fontId="13" fillId="0" borderId="62" xfId="102" applyFont="1" applyBorder="1" applyAlignment="1">
      <alignment vertical="center" wrapText="1"/>
      <protection/>
    </xf>
    <xf numFmtId="0" fontId="11" fillId="0" borderId="33" xfId="102" applyFont="1" applyBorder="1" applyAlignment="1">
      <alignment vertical="center"/>
      <protection/>
    </xf>
    <xf numFmtId="0" fontId="11" fillId="0" borderId="35" xfId="102" applyFont="1" applyBorder="1" applyAlignment="1">
      <alignment vertical="center"/>
      <protection/>
    </xf>
    <xf numFmtId="0" fontId="13" fillId="0" borderId="30" xfId="102" applyFont="1" applyBorder="1" applyAlignment="1">
      <alignment vertical="center"/>
      <protection/>
    </xf>
    <xf numFmtId="0" fontId="17" fillId="0" borderId="30" xfId="102" applyFont="1" applyBorder="1" applyAlignment="1">
      <alignment horizontal="center" vertical="center"/>
      <protection/>
    </xf>
    <xf numFmtId="0" fontId="10" fillId="0" borderId="62" xfId="0" applyFont="1" applyBorder="1" applyAlignment="1">
      <alignment horizontal="center" vertical="center" wrapText="1"/>
    </xf>
    <xf numFmtId="0" fontId="19" fillId="0" borderId="35" xfId="102" applyFont="1" applyFill="1" applyBorder="1" applyAlignment="1">
      <alignment vertical="center" wrapText="1"/>
      <protection/>
    </xf>
    <xf numFmtId="0" fontId="13" fillId="0" borderId="30" xfId="102" applyFont="1" applyBorder="1" applyAlignment="1">
      <alignment vertical="center" wrapText="1"/>
      <protection/>
    </xf>
    <xf numFmtId="0" fontId="13" fillId="0" borderId="30" xfId="102" applyFont="1" applyFill="1" applyBorder="1" applyAlignment="1">
      <alignment vertical="center"/>
      <protection/>
    </xf>
    <xf numFmtId="0" fontId="31" fillId="0" borderId="62" xfId="102" applyFont="1" applyBorder="1" applyAlignment="1">
      <alignment horizontal="center" vertical="center"/>
      <protection/>
    </xf>
    <xf numFmtId="0" fontId="7" fillId="0" borderId="34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2" xfId="78" applyFont="1" applyBorder="1" applyAlignment="1" applyProtection="1">
      <alignment vertical="center" wrapText="1"/>
      <protection/>
    </xf>
    <xf numFmtId="0" fontId="7" fillId="0" borderId="32" xfId="0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2" fillId="0" borderId="39" xfId="0" applyNumberFormat="1" applyFont="1" applyFill="1" applyBorder="1" applyAlignment="1">
      <alignment vertical="center"/>
    </xf>
    <xf numFmtId="3" fontId="32" fillId="0" borderId="26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3" fontId="7" fillId="0" borderId="28" xfId="0" applyNumberFormat="1" applyFont="1" applyBorder="1" applyAlignment="1">
      <alignment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3" fontId="3" fillId="49" borderId="39" xfId="0" applyNumberFormat="1" applyFont="1" applyFill="1" applyBorder="1" applyAlignment="1">
      <alignment horizontal="right" vertical="center" wrapText="1"/>
    </xf>
    <xf numFmtId="3" fontId="7" fillId="49" borderId="25" xfId="0" applyNumberFormat="1" applyFont="1" applyFill="1" applyBorder="1" applyAlignment="1">
      <alignment horizontal="right" vertical="center" wrapText="1"/>
    </xf>
    <xf numFmtId="3" fontId="7" fillId="49" borderId="20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49" fontId="0" fillId="0" borderId="55" xfId="0" applyNumberFormat="1" applyFont="1" applyBorder="1" applyAlignment="1">
      <alignment horizontal="left"/>
    </xf>
    <xf numFmtId="0" fontId="13" fillId="0" borderId="37" xfId="102" applyFont="1" applyBorder="1" applyAlignment="1">
      <alignment horizontal="center" vertical="center"/>
      <protection/>
    </xf>
    <xf numFmtId="49" fontId="3" fillId="0" borderId="63" xfId="0" applyNumberFormat="1" applyFont="1" applyBorder="1" applyAlignment="1">
      <alignment horizontal="left" vertical="center"/>
    </xf>
    <xf numFmtId="3" fontId="3" fillId="0" borderId="4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11" fillId="0" borderId="0" xfId="102" applyNumberFormat="1" applyFont="1">
      <alignment/>
      <protection/>
    </xf>
    <xf numFmtId="10" fontId="46" fillId="0" borderId="40" xfId="0" applyNumberFormat="1" applyFont="1" applyFill="1" applyBorder="1" applyAlignment="1" applyProtection="1">
      <alignment horizontal="right" vertical="center" wrapText="1" indent="1"/>
      <protection/>
    </xf>
    <xf numFmtId="3" fontId="34" fillId="0" borderId="64" xfId="102" applyNumberFormat="1" applyFont="1" applyFill="1" applyBorder="1" applyAlignment="1">
      <alignment horizontal="right"/>
      <protection/>
    </xf>
    <xf numFmtId="3" fontId="34" fillId="0" borderId="64" xfId="102" applyNumberFormat="1" applyFont="1" applyBorder="1" applyAlignment="1">
      <alignment horizontal="right"/>
      <protection/>
    </xf>
    <xf numFmtId="0" fontId="34" fillId="0" borderId="20" xfId="102" applyFont="1" applyBorder="1" applyAlignment="1">
      <alignment horizontal="right"/>
      <protection/>
    </xf>
    <xf numFmtId="3" fontId="34" fillId="0" borderId="20" xfId="102" applyNumberFormat="1" applyFont="1" applyBorder="1" applyAlignment="1">
      <alignment horizontal="right"/>
      <protection/>
    </xf>
    <xf numFmtId="3" fontId="34" fillId="0" borderId="20" xfId="102" applyNumberFormat="1" applyFont="1" applyFill="1" applyBorder="1" applyAlignment="1">
      <alignment horizontal="right"/>
      <protection/>
    </xf>
    <xf numFmtId="3" fontId="34" fillId="0" borderId="65" xfId="102" applyNumberFormat="1" applyFont="1" applyBorder="1" applyAlignment="1">
      <alignment horizontal="right"/>
      <protection/>
    </xf>
    <xf numFmtId="0" fontId="3" fillId="0" borderId="3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Continuous" vertical="center" wrapText="1"/>
    </xf>
    <xf numFmtId="0" fontId="3" fillId="0" borderId="40" xfId="0" applyFont="1" applyFill="1" applyBorder="1" applyAlignment="1">
      <alignment horizontal="centerContinuous" vertical="center" wrapText="1"/>
    </xf>
    <xf numFmtId="3" fontId="7" fillId="0" borderId="20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0" fontId="4" fillId="0" borderId="26" xfId="0" applyNumberFormat="1" applyFont="1" applyBorder="1" applyAlignment="1">
      <alignment vertical="center"/>
    </xf>
    <xf numFmtId="10" fontId="4" fillId="0" borderId="40" xfId="0" applyNumberFormat="1" applyFont="1" applyBorder="1" applyAlignment="1">
      <alignment vertical="center"/>
    </xf>
    <xf numFmtId="0" fontId="11" fillId="0" borderId="34" xfId="102" applyFont="1" applyBorder="1" applyAlignment="1">
      <alignment vertical="center" wrapText="1"/>
      <protection/>
    </xf>
    <xf numFmtId="0" fontId="11" fillId="0" borderId="32" xfId="102" applyFont="1" applyBorder="1" applyAlignment="1">
      <alignment vertical="center" wrapText="1"/>
      <protection/>
    </xf>
    <xf numFmtId="0" fontId="11" fillId="0" borderId="32" xfId="102" applyFont="1" applyFill="1" applyBorder="1" applyAlignment="1">
      <alignment vertical="center" wrapText="1"/>
      <protection/>
    </xf>
    <xf numFmtId="0" fontId="11" fillId="0" borderId="36" xfId="102" applyFont="1" applyBorder="1" applyAlignment="1">
      <alignment vertical="center" wrapText="1"/>
      <protection/>
    </xf>
    <xf numFmtId="0" fontId="11" fillId="0" borderId="66" xfId="102" applyFont="1" applyBorder="1" applyAlignment="1">
      <alignment vertical="center" wrapText="1"/>
      <protection/>
    </xf>
    <xf numFmtId="0" fontId="13" fillId="0" borderId="37" xfId="102" applyFont="1" applyBorder="1" applyAlignment="1">
      <alignment vertical="center" wrapText="1"/>
      <protection/>
    </xf>
    <xf numFmtId="0" fontId="17" fillId="0" borderId="37" xfId="102" applyFont="1" applyBorder="1" applyAlignment="1">
      <alignment horizontal="center" vertical="center" wrapText="1"/>
      <protection/>
    </xf>
    <xf numFmtId="0" fontId="11" fillId="0" borderId="53" xfId="102" applyFont="1" applyBorder="1" applyAlignment="1">
      <alignment vertical="center" wrapText="1"/>
      <protection/>
    </xf>
    <xf numFmtId="0" fontId="13" fillId="0" borderId="37" xfId="102" applyFont="1" applyBorder="1" applyAlignment="1">
      <alignment vertical="center"/>
      <protection/>
    </xf>
    <xf numFmtId="0" fontId="11" fillId="0" borderId="34" xfId="102" applyFont="1" applyFill="1" applyBorder="1" applyAlignment="1">
      <alignment vertical="center" wrapText="1"/>
      <protection/>
    </xf>
    <xf numFmtId="0" fontId="11" fillId="0" borderId="36" xfId="102" applyFont="1" applyBorder="1" applyAlignment="1">
      <alignment vertical="center"/>
      <protection/>
    </xf>
    <xf numFmtId="0" fontId="10" fillId="0" borderId="54" xfId="0" applyFont="1" applyBorder="1" applyAlignment="1">
      <alignment horizontal="center" vertical="center" wrapText="1"/>
    </xf>
    <xf numFmtId="0" fontId="31" fillId="0" borderId="37" xfId="102" applyFont="1" applyBorder="1" applyAlignment="1">
      <alignment horizontal="center" vertical="center"/>
      <protection/>
    </xf>
    <xf numFmtId="0" fontId="13" fillId="0" borderId="39" xfId="102" applyFont="1" applyBorder="1" applyAlignment="1">
      <alignment horizontal="center" vertical="center"/>
      <protection/>
    </xf>
    <xf numFmtId="0" fontId="13" fillId="0" borderId="26" xfId="102" applyFont="1" applyBorder="1" applyAlignment="1">
      <alignment horizontal="center" vertical="center"/>
      <protection/>
    </xf>
    <xf numFmtId="0" fontId="13" fillId="0" borderId="40" xfId="102" applyFont="1" applyBorder="1" applyAlignment="1">
      <alignment horizontal="center" vertical="center"/>
      <protection/>
    </xf>
    <xf numFmtId="3" fontId="11" fillId="0" borderId="25" xfId="102" applyNumberFormat="1" applyBorder="1" applyAlignment="1">
      <alignment vertical="center"/>
      <protection/>
    </xf>
    <xf numFmtId="3" fontId="11" fillId="0" borderId="20" xfId="102" applyNumberFormat="1" applyBorder="1" applyAlignment="1">
      <alignment vertical="center"/>
      <protection/>
    </xf>
    <xf numFmtId="3" fontId="11" fillId="0" borderId="28" xfId="102" applyNumberFormat="1" applyBorder="1" applyAlignment="1">
      <alignment vertical="center"/>
      <protection/>
    </xf>
    <xf numFmtId="3" fontId="11" fillId="0" borderId="21" xfId="102" applyNumberFormat="1" applyBorder="1" applyAlignment="1">
      <alignment vertical="center"/>
      <protection/>
    </xf>
    <xf numFmtId="3" fontId="11" fillId="0" borderId="44" xfId="102" applyNumberFormat="1" applyBorder="1" applyAlignment="1">
      <alignment vertical="center"/>
      <protection/>
    </xf>
    <xf numFmtId="3" fontId="13" fillId="0" borderId="28" xfId="102" applyNumberFormat="1" applyFont="1" applyBorder="1" applyAlignment="1">
      <alignment vertical="center"/>
      <protection/>
    </xf>
    <xf numFmtId="3" fontId="13" fillId="0" borderId="39" xfId="102" applyNumberFormat="1" applyFont="1" applyBorder="1" applyAlignment="1">
      <alignment vertical="center"/>
      <protection/>
    </xf>
    <xf numFmtId="3" fontId="17" fillId="0" borderId="39" xfId="102" applyNumberFormat="1" applyFont="1" applyBorder="1" applyAlignment="1">
      <alignment vertical="center"/>
      <protection/>
    </xf>
    <xf numFmtId="3" fontId="11" fillId="0" borderId="19" xfId="102" applyNumberFormat="1" applyFill="1" applyBorder="1" applyAlignment="1">
      <alignment vertical="center"/>
      <protection/>
    </xf>
    <xf numFmtId="3" fontId="11" fillId="0" borderId="25" xfId="102" applyNumberFormat="1" applyFont="1" applyBorder="1" applyAlignment="1">
      <alignment vertical="center"/>
      <protection/>
    </xf>
    <xf numFmtId="3" fontId="17" fillId="0" borderId="28" xfId="102" applyNumberFormat="1" applyFont="1" applyBorder="1" applyAlignment="1">
      <alignment vertical="center"/>
      <protection/>
    </xf>
    <xf numFmtId="3" fontId="17" fillId="0" borderId="44" xfId="102" applyNumberFormat="1" applyFont="1" applyBorder="1" applyAlignment="1">
      <alignment vertical="center"/>
      <protection/>
    </xf>
    <xf numFmtId="3" fontId="31" fillId="0" borderId="44" xfId="102" applyNumberFormat="1" applyFont="1" applyBorder="1" applyAlignment="1">
      <alignment vertical="center"/>
      <protection/>
    </xf>
    <xf numFmtId="3" fontId="11" fillId="0" borderId="19" xfId="102" applyNumberFormat="1" applyBorder="1" applyAlignment="1">
      <alignment vertical="center"/>
      <protection/>
    </xf>
    <xf numFmtId="3" fontId="11" fillId="0" borderId="20" xfId="102" applyNumberFormat="1" applyFill="1" applyBorder="1" applyAlignment="1">
      <alignment vertical="center"/>
      <protection/>
    </xf>
    <xf numFmtId="3" fontId="11" fillId="0" borderId="39" xfId="102" applyNumberFormat="1" applyBorder="1" applyAlignment="1">
      <alignment vertical="center"/>
      <protection/>
    </xf>
    <xf numFmtId="3" fontId="31" fillId="0" borderId="39" xfId="102" applyNumberFormat="1" applyFont="1" applyBorder="1" applyAlignment="1">
      <alignment vertical="center"/>
      <protection/>
    </xf>
    <xf numFmtId="0" fontId="3" fillId="0" borderId="39" xfId="0" applyFont="1" applyFill="1" applyBorder="1" applyAlignment="1">
      <alignment horizontal="centerContinuous" vertical="center" wrapText="1"/>
    </xf>
    <xf numFmtId="3" fontId="3" fillId="0" borderId="28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19" xfId="0" applyNumberFormat="1" applyFont="1" applyFill="1" applyBorder="1" applyAlignment="1">
      <alignment horizontal="right" vertical="center" wrapText="1"/>
    </xf>
    <xf numFmtId="3" fontId="7" fillId="49" borderId="42" xfId="0" applyNumberFormat="1" applyFont="1" applyFill="1" applyBorder="1" applyAlignment="1">
      <alignment horizontal="right" vertical="center" wrapText="1"/>
    </xf>
    <xf numFmtId="49" fontId="0" fillId="0" borderId="61" xfId="0" applyNumberFormat="1" applyFont="1" applyBorder="1" applyAlignment="1">
      <alignment horizontal="left"/>
    </xf>
    <xf numFmtId="49" fontId="7" fillId="0" borderId="67" xfId="0" applyNumberFormat="1" applyFont="1" applyBorder="1" applyAlignment="1">
      <alignment horizontal="left" vertical="center"/>
    </xf>
    <xf numFmtId="0" fontId="42" fillId="0" borderId="68" xfId="0" applyFont="1" applyFill="1" applyBorder="1" applyAlignment="1" applyProtection="1">
      <alignment horizontal="center" vertical="center" wrapText="1"/>
      <protection/>
    </xf>
    <xf numFmtId="0" fontId="42" fillId="0" borderId="56" xfId="0" applyFont="1" applyFill="1" applyBorder="1" applyAlignment="1" applyProtection="1">
      <alignment horizontal="center" vertical="center" wrapText="1"/>
      <protection/>
    </xf>
    <xf numFmtId="169" fontId="46" fillId="0" borderId="50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37" xfId="0" applyNumberFormat="1" applyFont="1" applyFill="1" applyBorder="1" applyAlignment="1" applyProtection="1">
      <alignment horizontal="right" vertical="center" wrapText="1" indent="1"/>
      <protection/>
    </xf>
    <xf numFmtId="10" fontId="38" fillId="0" borderId="53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37" xfId="0" applyNumberFormat="1" applyFont="1" applyFill="1" applyBorder="1" applyAlignment="1" applyProtection="1">
      <alignment horizontal="right" vertical="center" wrapText="1" indent="1"/>
      <protection/>
    </xf>
    <xf numFmtId="169" fontId="42" fillId="0" borderId="28" xfId="0" applyNumberFormat="1" applyFont="1" applyFill="1" applyBorder="1" applyAlignment="1" applyProtection="1">
      <alignment horizontal="center" vertical="center" wrapText="1"/>
      <protection/>
    </xf>
    <xf numFmtId="169" fontId="46" fillId="0" borderId="39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47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39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60" xfId="104" applyFont="1" applyFill="1" applyBorder="1" applyAlignment="1" applyProtection="1">
      <alignment horizontal="left" vertical="center" wrapText="1" indent="1"/>
      <protection/>
    </xf>
    <xf numFmtId="0" fontId="38" fillId="0" borderId="69" xfId="104" applyFont="1" applyFill="1" applyBorder="1" applyAlignment="1" applyProtection="1">
      <alignment horizontal="left" vertical="center" wrapText="1" indent="1"/>
      <protection/>
    </xf>
    <xf numFmtId="0" fontId="38" fillId="0" borderId="64" xfId="104" applyFont="1" applyFill="1" applyBorder="1" applyAlignment="1" applyProtection="1">
      <alignment horizontal="left" vertical="center" wrapText="1" indent="1"/>
      <protection/>
    </xf>
    <xf numFmtId="0" fontId="46" fillId="0" borderId="60" xfId="104" applyFont="1" applyFill="1" applyBorder="1" applyAlignment="1" applyProtection="1">
      <alignment horizontal="left" vertical="center" wrapText="1" indent="1"/>
      <protection/>
    </xf>
    <xf numFmtId="0" fontId="46" fillId="0" borderId="37" xfId="104" applyFont="1" applyFill="1" applyBorder="1" applyAlignment="1" applyProtection="1">
      <alignment horizontal="left" vertical="center" wrapText="1" indent="1"/>
      <protection/>
    </xf>
    <xf numFmtId="0" fontId="42" fillId="0" borderId="60" xfId="0" applyFont="1" applyFill="1" applyBorder="1" applyAlignment="1" applyProtection="1">
      <alignment horizontal="left" vertical="center" wrapText="1" indent="1"/>
      <protection/>
    </xf>
    <xf numFmtId="0" fontId="26" fillId="0" borderId="37" xfId="0" applyFont="1" applyFill="1" applyBorder="1" applyAlignment="1" applyProtection="1">
      <alignment vertical="center" wrapText="1"/>
      <protection/>
    </xf>
    <xf numFmtId="169" fontId="3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42" fillId="0" borderId="47" xfId="0" applyFont="1" applyFill="1" applyBorder="1" applyAlignment="1" applyProtection="1">
      <alignment horizontal="center" vertical="center" wrapText="1"/>
      <protection/>
    </xf>
    <xf numFmtId="10" fontId="46" fillId="0" borderId="50" xfId="0" applyNumberFormat="1" applyFont="1" applyFill="1" applyBorder="1" applyAlignment="1" applyProtection="1">
      <alignment horizontal="right" vertical="center" wrapText="1" indent="1"/>
      <protection/>
    </xf>
    <xf numFmtId="10" fontId="3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1" xfId="0" applyFill="1" applyBorder="1" applyAlignment="1" applyProtection="1">
      <alignment horizontal="right" vertical="center" wrapText="1" indent="1"/>
      <protection/>
    </xf>
    <xf numFmtId="0" fontId="0" fillId="0" borderId="52" xfId="0" applyFill="1" applyBorder="1" applyAlignment="1" applyProtection="1">
      <alignment horizontal="right" vertical="center" wrapText="1" indent="1"/>
      <protection/>
    </xf>
    <xf numFmtId="0" fontId="0" fillId="0" borderId="59" xfId="0" applyFill="1" applyBorder="1" applyAlignment="1">
      <alignment vertical="center" wrapText="1"/>
    </xf>
    <xf numFmtId="3" fontId="2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71" xfId="0" applyFont="1" applyFill="1" applyBorder="1" applyAlignment="1" applyProtection="1">
      <alignment horizontal="center" vertical="center" wrapText="1"/>
      <protection/>
    </xf>
    <xf numFmtId="0" fontId="46" fillId="0" borderId="60" xfId="0" applyFont="1" applyFill="1" applyBorder="1" applyAlignment="1" applyProtection="1">
      <alignment horizontal="left" vertical="center" wrapText="1" indent="1"/>
      <protection/>
    </xf>
    <xf numFmtId="0" fontId="38" fillId="0" borderId="72" xfId="104" applyFont="1" applyFill="1" applyBorder="1" applyAlignment="1" applyProtection="1">
      <alignment horizontal="left" vertical="center" wrapText="1" indent="1"/>
      <protection/>
    </xf>
    <xf numFmtId="0" fontId="38" fillId="0" borderId="73" xfId="104" applyFont="1" applyFill="1" applyBorder="1" applyAlignment="1" applyProtection="1">
      <alignment horizontal="left" vertical="center" wrapText="1" indent="1"/>
      <protection/>
    </xf>
    <xf numFmtId="0" fontId="46" fillId="0" borderId="71" xfId="104" applyFont="1" applyFill="1" applyBorder="1" applyAlignment="1" applyProtection="1">
      <alignment horizontal="left" vertical="center" wrapText="1" indent="1"/>
      <protection/>
    </xf>
    <xf numFmtId="0" fontId="38" fillId="0" borderId="74" xfId="104" applyFont="1" applyFill="1" applyBorder="1" applyAlignment="1" applyProtection="1">
      <alignment horizontal="left" vertical="center" wrapText="1" indent="1"/>
      <protection/>
    </xf>
    <xf numFmtId="0" fontId="43" fillId="0" borderId="37" xfId="0" applyFont="1" applyBorder="1" applyAlignment="1" applyProtection="1">
      <alignment horizontal="left" wrapText="1" indent="1"/>
      <protection/>
    </xf>
    <xf numFmtId="10" fontId="38" fillId="0" borderId="32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9" fontId="42" fillId="0" borderId="52" xfId="0" applyNumberFormat="1" applyFont="1" applyFill="1" applyBorder="1" applyAlignment="1" applyProtection="1">
      <alignment horizontal="center" vertical="center" wrapText="1"/>
      <protection/>
    </xf>
    <xf numFmtId="10" fontId="38" fillId="0" borderId="23" xfId="0" applyNumberFormat="1" applyFont="1" applyFill="1" applyBorder="1" applyAlignment="1" applyProtection="1">
      <alignment horizontal="right" vertical="center" wrapText="1" indent="1"/>
      <protection/>
    </xf>
    <xf numFmtId="169" fontId="42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right" vertical="center" wrapText="1" indent="1"/>
      <protection/>
    </xf>
    <xf numFmtId="0" fontId="0" fillId="0" borderId="52" xfId="0" applyFont="1" applyFill="1" applyBorder="1" applyAlignment="1" applyProtection="1">
      <alignment horizontal="right" vertical="center" wrapText="1" indent="1"/>
      <protection/>
    </xf>
    <xf numFmtId="0" fontId="0" fillId="0" borderId="59" xfId="0" applyFont="1" applyFill="1" applyBorder="1" applyAlignment="1" applyProtection="1">
      <alignment horizontal="right" vertical="center" wrapText="1" indent="1"/>
      <protection/>
    </xf>
    <xf numFmtId="0" fontId="26" fillId="0" borderId="50" xfId="0" applyFont="1" applyFill="1" applyBorder="1" applyAlignment="1">
      <alignment vertical="center"/>
    </xf>
    <xf numFmtId="10" fontId="46" fillId="0" borderId="46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75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7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7" xfId="0" applyFont="1" applyFill="1" applyBorder="1" applyAlignment="1" applyProtection="1">
      <alignment horizontal="right" vertical="center" wrapText="1" indent="1"/>
      <protection/>
    </xf>
    <xf numFmtId="3" fontId="2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3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38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3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46" fillId="0" borderId="40" xfId="0" applyNumberFormat="1" applyFont="1" applyFill="1" applyBorder="1" applyAlignment="1" applyProtection="1">
      <alignment horizontal="right" vertical="center" wrapText="1" indent="1"/>
      <protection/>
    </xf>
    <xf numFmtId="49" fontId="38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49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4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9" xfId="0" applyNumberFormat="1" applyFont="1" applyFill="1" applyBorder="1" applyAlignment="1" applyProtection="1">
      <alignment horizontal="right" vertical="center" wrapText="1" indent="1"/>
      <protection/>
    </xf>
    <xf numFmtId="49" fontId="2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3" fontId="15" fillId="0" borderId="20" xfId="102" applyNumberFormat="1" applyFont="1" applyFill="1" applyBorder="1" applyAlignment="1">
      <alignment vertical="center"/>
      <protection/>
    </xf>
    <xf numFmtId="3" fontId="15" fillId="0" borderId="20" xfId="0" applyNumberFormat="1" applyFont="1" applyFill="1" applyBorder="1" applyAlignment="1">
      <alignment horizontal="right" vertical="center"/>
    </xf>
    <xf numFmtId="3" fontId="15" fillId="0" borderId="20" xfId="102" applyNumberFormat="1" applyFont="1" applyFill="1" applyBorder="1" applyAlignment="1">
      <alignment horizontal="right" vertical="center"/>
      <protection/>
    </xf>
    <xf numFmtId="3" fontId="12" fillId="0" borderId="39" xfId="102" applyNumberFormat="1" applyFont="1" applyFill="1" applyBorder="1" applyAlignment="1">
      <alignment horizontal="right" vertical="center"/>
      <protection/>
    </xf>
    <xf numFmtId="10" fontId="15" fillId="0" borderId="23" xfId="102" applyNumberFormat="1" applyFont="1" applyFill="1" applyBorder="1" applyAlignment="1">
      <alignment vertical="center"/>
      <protection/>
    </xf>
    <xf numFmtId="3" fontId="15" fillId="0" borderId="20" xfId="0" applyNumberFormat="1" applyFont="1" applyFill="1" applyBorder="1" applyAlignment="1">
      <alignment vertical="center"/>
    </xf>
    <xf numFmtId="3" fontId="15" fillId="0" borderId="20" xfId="102" applyNumberFormat="1" applyFont="1" applyFill="1" applyBorder="1" applyAlignment="1">
      <alignment vertical="center"/>
      <protection/>
    </xf>
    <xf numFmtId="0" fontId="11" fillId="0" borderId="55" xfId="102" applyFont="1" applyBorder="1">
      <alignment/>
      <protection/>
    </xf>
    <xf numFmtId="0" fontId="11" fillId="0" borderId="55" xfId="102" applyFont="1" applyFill="1" applyBorder="1">
      <alignment/>
      <protection/>
    </xf>
    <xf numFmtId="0" fontId="12" fillId="1" borderId="45" xfId="102" applyFont="1" applyFill="1" applyBorder="1" applyAlignment="1">
      <alignment horizontal="center" vertical="center" wrapText="1"/>
      <protection/>
    </xf>
    <xf numFmtId="0" fontId="7" fillId="0" borderId="32" xfId="0" applyFont="1" applyBorder="1" applyAlignment="1">
      <alignment horizontal="left" wrapTex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2" fillId="0" borderId="3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0" fontId="2" fillId="0" borderId="26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10" fontId="2" fillId="0" borderId="40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61" fillId="0" borderId="0" xfId="101" applyFont="1" applyFill="1" applyBorder="1" applyAlignment="1" applyProtection="1">
      <alignment horizontal="center" vertical="center"/>
      <protection/>
    </xf>
    <xf numFmtId="0" fontId="43" fillId="0" borderId="30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58" fillId="0" borderId="20" xfId="101" applyFont="1" applyBorder="1">
      <alignment/>
      <protection/>
    </xf>
    <xf numFmtId="0" fontId="51" fillId="0" borderId="0" xfId="101" applyFont="1" applyFill="1" applyAlignment="1">
      <alignment vertical="center"/>
      <protection/>
    </xf>
    <xf numFmtId="0" fontId="1" fillId="0" borderId="20" xfId="101" applyBorder="1">
      <alignment/>
      <protection/>
    </xf>
    <xf numFmtId="0" fontId="1" fillId="0" borderId="20" xfId="101" applyFont="1" applyBorder="1">
      <alignment/>
      <protection/>
    </xf>
    <xf numFmtId="0" fontId="58" fillId="0" borderId="31" xfId="101" applyFont="1" applyBorder="1">
      <alignment/>
      <protection/>
    </xf>
    <xf numFmtId="0" fontId="58" fillId="0" borderId="35" xfId="101" applyFont="1" applyBorder="1">
      <alignment/>
      <protection/>
    </xf>
    <xf numFmtId="0" fontId="58" fillId="0" borderId="30" xfId="101" applyFont="1" applyBorder="1" applyAlignment="1">
      <alignment vertical="center"/>
      <protection/>
    </xf>
    <xf numFmtId="0" fontId="1" fillId="0" borderId="0" xfId="101" applyFill="1" applyAlignment="1">
      <alignment vertical="center"/>
      <protection/>
    </xf>
    <xf numFmtId="0" fontId="58" fillId="0" borderId="33" xfId="101" applyFont="1" applyBorder="1">
      <alignment/>
      <protection/>
    </xf>
    <xf numFmtId="0" fontId="58" fillId="0" borderId="30" xfId="101" applyFont="1" applyFill="1" applyBorder="1" applyAlignment="1">
      <alignment vertical="center"/>
      <protection/>
    </xf>
    <xf numFmtId="0" fontId="58" fillId="0" borderId="55" xfId="101" applyFont="1" applyFill="1" applyBorder="1">
      <alignment/>
      <protection/>
    </xf>
    <xf numFmtId="0" fontId="58" fillId="0" borderId="0" xfId="101" applyFont="1" applyFill="1">
      <alignment/>
      <protection/>
    </xf>
    <xf numFmtId="0" fontId="58" fillId="0" borderId="0" xfId="101" applyFont="1" applyFill="1" applyAlignment="1">
      <alignment vertical="center"/>
      <protection/>
    </xf>
    <xf numFmtId="0" fontId="58" fillId="0" borderId="30" xfId="101" applyFont="1" applyFill="1" applyBorder="1">
      <alignment/>
      <protection/>
    </xf>
    <xf numFmtId="0" fontId="62" fillId="0" borderId="61" xfId="10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0" fontId="1" fillId="0" borderId="0" xfId="101" applyFont="1" applyFill="1">
      <alignment/>
      <protection/>
    </xf>
    <xf numFmtId="0" fontId="43" fillId="0" borderId="26" xfId="101" applyFont="1" applyFill="1" applyBorder="1" applyAlignment="1" applyProtection="1">
      <alignment horizontal="center" vertical="center" wrapText="1"/>
      <protection/>
    </xf>
    <xf numFmtId="3" fontId="58" fillId="0" borderId="45" xfId="101" applyNumberFormat="1" applyFont="1" applyBorder="1" applyAlignment="1">
      <alignment horizontal="right"/>
      <protection/>
    </xf>
    <xf numFmtId="3" fontId="1" fillId="0" borderId="22" xfId="101" applyNumberFormat="1" applyFont="1" applyBorder="1" applyAlignment="1">
      <alignment horizontal="right"/>
      <protection/>
    </xf>
    <xf numFmtId="3" fontId="58" fillId="0" borderId="22" xfId="101" applyNumberFormat="1" applyFont="1" applyBorder="1" applyAlignment="1">
      <alignment horizontal="right"/>
      <protection/>
    </xf>
    <xf numFmtId="3" fontId="58" fillId="0" borderId="26" xfId="101" applyNumberFormat="1" applyFont="1" applyBorder="1" applyAlignment="1">
      <alignment horizontal="right" vertical="center"/>
      <protection/>
    </xf>
    <xf numFmtId="3" fontId="58" fillId="0" borderId="26" xfId="101" applyNumberFormat="1" applyFont="1" applyFill="1" applyBorder="1" applyAlignment="1">
      <alignment vertical="center"/>
      <protection/>
    </xf>
    <xf numFmtId="3" fontId="58" fillId="0" borderId="45" xfId="101" applyNumberFormat="1" applyFont="1" applyFill="1" applyBorder="1">
      <alignment/>
      <protection/>
    </xf>
    <xf numFmtId="3" fontId="1" fillId="0" borderId="22" xfId="101" applyNumberFormat="1" applyFont="1" applyFill="1" applyBorder="1">
      <alignment/>
      <protection/>
    </xf>
    <xf numFmtId="3" fontId="58" fillId="0" borderId="26" xfId="101" applyNumberFormat="1" applyFont="1" applyFill="1" applyBorder="1">
      <alignment/>
      <protection/>
    </xf>
    <xf numFmtId="3" fontId="58" fillId="0" borderId="22" xfId="101" applyNumberFormat="1" applyFont="1" applyBorder="1">
      <alignment/>
      <protection/>
    </xf>
    <xf numFmtId="3" fontId="58" fillId="0" borderId="27" xfId="101" applyNumberFormat="1" applyFont="1" applyBorder="1">
      <alignment/>
      <protection/>
    </xf>
    <xf numFmtId="3" fontId="62" fillId="0" borderId="24" xfId="101" applyNumberFormat="1" applyFont="1" applyBorder="1" applyAlignment="1">
      <alignment vertical="center"/>
      <protection/>
    </xf>
    <xf numFmtId="169" fontId="46" fillId="0" borderId="56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41" xfId="0" applyFont="1" applyFill="1" applyBorder="1" applyAlignment="1" applyProtection="1">
      <alignment horizontal="center" vertical="center" wrapText="1"/>
      <protection/>
    </xf>
    <xf numFmtId="49" fontId="38" fillId="0" borderId="52" xfId="104" applyNumberFormat="1" applyFont="1" applyFill="1" applyBorder="1" applyAlignment="1" applyProtection="1">
      <alignment horizontal="left" vertical="center" wrapText="1" indent="1"/>
      <protection/>
    </xf>
    <xf numFmtId="169" fontId="3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8" xfId="0" applyNumberFormat="1" applyFont="1" applyBorder="1" applyAlignment="1">
      <alignment horizontal="left"/>
    </xf>
    <xf numFmtId="49" fontId="7" fillId="0" borderId="66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54" xfId="102" applyFont="1" applyBorder="1" applyAlignment="1">
      <alignment vertical="center" wrapText="1"/>
      <protection/>
    </xf>
    <xf numFmtId="49" fontId="7" fillId="0" borderId="61" xfId="0" applyNumberFormat="1" applyFont="1" applyBorder="1" applyAlignment="1">
      <alignment horizontal="left" vertical="center"/>
    </xf>
    <xf numFmtId="49" fontId="7" fillId="0" borderId="66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left" vertical="center"/>
    </xf>
    <xf numFmtId="3" fontId="7" fillId="0" borderId="21" xfId="0" applyNumberFormat="1" applyFont="1" applyFill="1" applyBorder="1" applyAlignment="1">
      <alignment vertical="center"/>
    </xf>
    <xf numFmtId="0" fontId="58" fillId="0" borderId="20" xfId="101" applyFont="1" applyFill="1" applyBorder="1">
      <alignment/>
      <protection/>
    </xf>
    <xf numFmtId="3" fontId="58" fillId="0" borderId="22" xfId="101" applyNumberFormat="1" applyFont="1" applyFill="1" applyBorder="1">
      <alignment/>
      <protection/>
    </xf>
    <xf numFmtId="0" fontId="1" fillId="0" borderId="31" xfId="101" applyFont="1" applyFill="1" applyBorder="1">
      <alignment/>
      <protection/>
    </xf>
    <xf numFmtId="0" fontId="58" fillId="0" borderId="61" xfId="101" applyFont="1" applyFill="1" applyBorder="1">
      <alignment/>
      <protection/>
    </xf>
    <xf numFmtId="3" fontId="58" fillId="0" borderId="24" xfId="101" applyNumberFormat="1" applyFont="1" applyFill="1" applyBorder="1">
      <alignment/>
      <protection/>
    </xf>
    <xf numFmtId="3" fontId="58" fillId="0" borderId="24" xfId="101" applyNumberFormat="1" applyFont="1" applyBorder="1" applyAlignment="1">
      <alignment horizontal="right"/>
      <protection/>
    </xf>
    <xf numFmtId="0" fontId="15" fillId="0" borderId="20" xfId="102" applyFont="1" applyFill="1" applyBorder="1" applyAlignment="1">
      <alignment horizontal="right" wrapText="1"/>
      <protection/>
    </xf>
    <xf numFmtId="0" fontId="63" fillId="0" borderId="0" xfId="102" applyFont="1" applyAlignment="1">
      <alignment horizontal="right"/>
      <protection/>
    </xf>
    <xf numFmtId="0" fontId="64" fillId="0" borderId="0" xfId="102" applyFont="1" applyAlignment="1">
      <alignment horizontal="center"/>
      <protection/>
    </xf>
    <xf numFmtId="0" fontId="65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0" fontId="19" fillId="0" borderId="0" xfId="103">
      <alignment/>
      <protection/>
    </xf>
    <xf numFmtId="0" fontId="63" fillId="0" borderId="0" xfId="102" applyFont="1">
      <alignment/>
      <protection/>
    </xf>
    <xf numFmtId="3" fontId="11" fillId="0" borderId="0" xfId="102" applyNumberFormat="1">
      <alignment/>
      <protection/>
    </xf>
    <xf numFmtId="0" fontId="13" fillId="0" borderId="39" xfId="102" applyFont="1" applyBorder="1" applyAlignment="1">
      <alignment horizontal="center" vertical="center" wrapText="1"/>
      <protection/>
    </xf>
    <xf numFmtId="0" fontId="11" fillId="0" borderId="55" xfId="102" applyBorder="1" applyAlignment="1">
      <alignment vertical="center" wrapText="1"/>
      <protection/>
    </xf>
    <xf numFmtId="0" fontId="11" fillId="0" borderId="0" xfId="102" applyAlignment="1">
      <alignment vertical="center" wrapText="1"/>
      <protection/>
    </xf>
    <xf numFmtId="168" fontId="66" fillId="0" borderId="67" xfId="103" applyNumberFormat="1" applyFont="1" applyBorder="1" applyAlignment="1">
      <alignment horizontal="center" vertical="center" wrapText="1"/>
      <protection/>
    </xf>
    <xf numFmtId="3" fontId="66" fillId="0" borderId="47" xfId="103" applyNumberFormat="1" applyFont="1" applyBorder="1" applyAlignment="1">
      <alignment horizontal="center" vertical="center" wrapText="1"/>
      <protection/>
    </xf>
    <xf numFmtId="3" fontId="66" fillId="0" borderId="38" xfId="103" applyNumberFormat="1" applyFont="1" applyBorder="1" applyAlignment="1">
      <alignment horizontal="center" vertical="center" wrapText="1"/>
      <protection/>
    </xf>
    <xf numFmtId="3" fontId="66" fillId="0" borderId="56" xfId="103" applyNumberFormat="1" applyFont="1" applyBorder="1" applyAlignment="1">
      <alignment horizontal="center" vertical="center" wrapText="1"/>
      <protection/>
    </xf>
    <xf numFmtId="3" fontId="68" fillId="0" borderId="19" xfId="103" applyNumberFormat="1" applyFont="1" applyFill="1" applyBorder="1" applyAlignment="1">
      <alignment vertical="top"/>
      <protection/>
    </xf>
    <xf numFmtId="3" fontId="68" fillId="0" borderId="42" xfId="103" applyNumberFormat="1" applyFont="1" applyFill="1" applyBorder="1" applyAlignment="1">
      <alignment vertical="top"/>
      <protection/>
    </xf>
    <xf numFmtId="10" fontId="68" fillId="0" borderId="43" xfId="103" applyNumberFormat="1" applyFont="1" applyFill="1" applyBorder="1" applyAlignment="1">
      <alignment vertical="top"/>
      <protection/>
    </xf>
    <xf numFmtId="3" fontId="68" fillId="0" borderId="43" xfId="103" applyNumberFormat="1" applyFont="1" applyFill="1" applyBorder="1" applyAlignment="1">
      <alignment vertical="top"/>
      <protection/>
    </xf>
    <xf numFmtId="0" fontId="67" fillId="0" borderId="32" xfId="103" applyFont="1" applyFill="1" applyBorder="1" applyAlignment="1">
      <alignment horizontal="left"/>
      <protection/>
    </xf>
    <xf numFmtId="3" fontId="68" fillId="0" borderId="20" xfId="103" applyNumberFormat="1" applyFont="1" applyFill="1" applyBorder="1" applyAlignment="1">
      <alignment vertical="top"/>
      <protection/>
    </xf>
    <xf numFmtId="3" fontId="68" fillId="0" borderId="22" xfId="103" applyNumberFormat="1" applyFont="1" applyFill="1" applyBorder="1" applyAlignment="1">
      <alignment vertical="top"/>
      <protection/>
    </xf>
    <xf numFmtId="10" fontId="68" fillId="0" borderId="23" xfId="103" applyNumberFormat="1" applyFont="1" applyFill="1" applyBorder="1" applyAlignment="1">
      <alignment vertical="top"/>
      <protection/>
    </xf>
    <xf numFmtId="3" fontId="68" fillId="0" borderId="23" xfId="103" applyNumberFormat="1" applyFont="1" applyFill="1" applyBorder="1" applyAlignment="1">
      <alignment vertical="top"/>
      <protection/>
    </xf>
    <xf numFmtId="3" fontId="68" fillId="0" borderId="20" xfId="103" applyNumberFormat="1" applyFont="1" applyFill="1" applyBorder="1">
      <alignment/>
      <protection/>
    </xf>
    <xf numFmtId="3" fontId="68" fillId="0" borderId="22" xfId="103" applyNumberFormat="1" applyFont="1" applyFill="1" applyBorder="1">
      <alignment/>
      <protection/>
    </xf>
    <xf numFmtId="3" fontId="68" fillId="0" borderId="23" xfId="103" applyNumberFormat="1" applyFont="1" applyFill="1" applyBorder="1">
      <alignment/>
      <protection/>
    </xf>
    <xf numFmtId="0" fontId="11" fillId="0" borderId="39" xfId="102" applyFont="1" applyBorder="1" applyAlignment="1">
      <alignment horizontal="center" vertical="center"/>
      <protection/>
    </xf>
    <xf numFmtId="3" fontId="69" fillId="0" borderId="39" xfId="103" applyNumberFormat="1" applyFont="1" applyBorder="1" applyAlignment="1">
      <alignment vertical="center"/>
      <protection/>
    </xf>
    <xf numFmtId="3" fontId="69" fillId="0" borderId="26" xfId="103" applyNumberFormat="1" applyFont="1" applyBorder="1" applyAlignment="1">
      <alignment vertical="center"/>
      <protection/>
    </xf>
    <xf numFmtId="10" fontId="69" fillId="0" borderId="40" xfId="103" applyNumberFormat="1" applyFont="1" applyBorder="1" applyAlignment="1">
      <alignment vertical="center"/>
      <protection/>
    </xf>
    <xf numFmtId="3" fontId="17" fillId="0" borderId="0" xfId="102" applyNumberFormat="1" applyFont="1" applyAlignment="1">
      <alignment horizontal="right" vertical="center"/>
      <protection/>
    </xf>
    <xf numFmtId="0" fontId="71" fillId="0" borderId="0" xfId="102" applyFont="1" applyAlignment="1">
      <alignment vertical="center"/>
      <protection/>
    </xf>
    <xf numFmtId="0" fontId="72" fillId="0" borderId="55" xfId="102" applyFont="1" applyBorder="1" applyAlignment="1">
      <alignment vertical="center"/>
      <protection/>
    </xf>
    <xf numFmtId="0" fontId="23" fillId="50" borderId="52" xfId="102" applyFont="1" applyFill="1" applyBorder="1" applyAlignment="1">
      <alignment horizontal="center" vertical="center" wrapText="1"/>
      <protection/>
    </xf>
    <xf numFmtId="0" fontId="11" fillId="0" borderId="55" xfId="102" applyBorder="1" applyAlignment="1">
      <alignment vertical="center"/>
      <protection/>
    </xf>
    <xf numFmtId="0" fontId="23" fillId="50" borderId="35" xfId="102" applyFont="1" applyFill="1" applyBorder="1" applyAlignment="1">
      <alignment horizontal="center" vertical="center" wrapText="1"/>
      <protection/>
    </xf>
    <xf numFmtId="3" fontId="23" fillId="50" borderId="79" xfId="102" applyNumberFormat="1" applyFont="1" applyFill="1" applyBorder="1" applyAlignment="1">
      <alignment horizontal="center" vertical="center" wrapText="1"/>
      <protection/>
    </xf>
    <xf numFmtId="3" fontId="23" fillId="50" borderId="80" xfId="102" applyNumberFormat="1" applyFont="1" applyFill="1" applyBorder="1" applyAlignment="1">
      <alignment horizontal="center" vertical="center" wrapText="1"/>
      <protection/>
    </xf>
    <xf numFmtId="3" fontId="23" fillId="50" borderId="81" xfId="102" applyNumberFormat="1" applyFont="1" applyFill="1" applyBorder="1" applyAlignment="1">
      <alignment horizontal="center" vertical="center" wrapText="1"/>
      <protection/>
    </xf>
    <xf numFmtId="0" fontId="67" fillId="0" borderId="31" xfId="0" applyFont="1" applyBorder="1" applyAlignment="1">
      <alignment vertical="center" wrapText="1"/>
    </xf>
    <xf numFmtId="0" fontId="67" fillId="0" borderId="22" xfId="0" applyFont="1" applyBorder="1" applyAlignment="1">
      <alignment horizontal="center" vertical="center" wrapText="1"/>
    </xf>
    <xf numFmtId="3" fontId="30" fillId="0" borderId="22" xfId="102" applyNumberFormat="1" applyFont="1" applyBorder="1" applyAlignment="1">
      <alignment horizontal="right" vertical="center" wrapText="1"/>
      <protection/>
    </xf>
    <xf numFmtId="3" fontId="30" fillId="0" borderId="45" xfId="102" applyNumberFormat="1" applyFont="1" applyBorder="1" applyAlignment="1">
      <alignment horizontal="right" vertical="center" wrapText="1"/>
      <protection/>
    </xf>
    <xf numFmtId="10" fontId="30" fillId="0" borderId="45" xfId="102" applyNumberFormat="1" applyFont="1" applyBorder="1" applyAlignment="1">
      <alignment horizontal="right" vertical="center" wrapText="1"/>
      <protection/>
    </xf>
    <xf numFmtId="10" fontId="30" fillId="0" borderId="22" xfId="102" applyNumberFormat="1" applyFont="1" applyBorder="1" applyAlignment="1">
      <alignment horizontal="right" vertical="center" wrapText="1"/>
      <protection/>
    </xf>
    <xf numFmtId="10" fontId="30" fillId="0" borderId="23" xfId="102" applyNumberFormat="1" applyFont="1" applyBorder="1" applyAlignment="1">
      <alignment horizontal="right" vertical="center" wrapText="1"/>
      <protection/>
    </xf>
    <xf numFmtId="3" fontId="30" fillId="0" borderId="22" xfId="102" applyNumberFormat="1" applyFont="1" applyFill="1" applyBorder="1" applyAlignment="1">
      <alignment vertical="center"/>
      <protection/>
    </xf>
    <xf numFmtId="3" fontId="23" fillId="50" borderId="82" xfId="102" applyNumberFormat="1" applyFont="1" applyFill="1" applyBorder="1" applyAlignment="1">
      <alignment horizontal="center" vertical="center" wrapText="1"/>
      <protection/>
    </xf>
    <xf numFmtId="3" fontId="23" fillId="50" borderId="83" xfId="102" applyNumberFormat="1" applyFont="1" applyFill="1" applyBorder="1" applyAlignment="1">
      <alignment horizontal="center" vertical="center" wrapText="1"/>
      <protection/>
    </xf>
    <xf numFmtId="3" fontId="31" fillId="50" borderId="83" xfId="102" applyNumberFormat="1" applyFont="1" applyFill="1" applyBorder="1" applyAlignment="1">
      <alignment horizontal="right" vertical="center" wrapText="1"/>
      <protection/>
    </xf>
    <xf numFmtId="10" fontId="31" fillId="50" borderId="83" xfId="102" applyNumberFormat="1" applyFont="1" applyFill="1" applyBorder="1" applyAlignment="1">
      <alignment horizontal="right" vertical="center" wrapText="1"/>
      <protection/>
    </xf>
    <xf numFmtId="3" fontId="23" fillId="0" borderId="0" xfId="102" applyNumberFormat="1" applyFont="1" applyFill="1" applyBorder="1" applyAlignment="1">
      <alignment horizontal="center" vertical="center" wrapText="1"/>
      <protection/>
    </xf>
    <xf numFmtId="3" fontId="31" fillId="0" borderId="0" xfId="102" applyNumberFormat="1" applyFont="1" applyFill="1" applyBorder="1" applyAlignment="1">
      <alignment horizontal="right" vertical="center" wrapText="1"/>
      <protection/>
    </xf>
    <xf numFmtId="0" fontId="72" fillId="0" borderId="0" xfId="102" applyFont="1" applyAlignment="1">
      <alignment vertical="center"/>
      <protection/>
    </xf>
    <xf numFmtId="0" fontId="11" fillId="0" borderId="55" xfId="102" applyFill="1" applyBorder="1" applyAlignment="1">
      <alignment vertical="center"/>
      <protection/>
    </xf>
    <xf numFmtId="0" fontId="11" fillId="0" borderId="0" xfId="102" applyFill="1" applyAlignment="1">
      <alignment vertical="center"/>
      <protection/>
    </xf>
    <xf numFmtId="0" fontId="23" fillId="50" borderId="84" xfId="102" applyFont="1" applyFill="1" applyBorder="1" applyAlignment="1">
      <alignment horizontal="center" vertical="center" wrapText="1"/>
      <protection/>
    </xf>
    <xf numFmtId="0" fontId="23" fillId="50" borderId="80" xfId="102" applyFont="1" applyFill="1" applyBorder="1" applyAlignment="1">
      <alignment horizontal="center" vertical="center" wrapText="1"/>
      <protection/>
    </xf>
    <xf numFmtId="0" fontId="67" fillId="0" borderId="33" xfId="0" applyFont="1" applyFill="1" applyBorder="1" applyAlignment="1">
      <alignment vertical="center" wrapText="1"/>
    </xf>
    <xf numFmtId="0" fontId="67" fillId="0" borderId="45" xfId="0" applyFont="1" applyFill="1" applyBorder="1" applyAlignment="1">
      <alignment horizontal="center" vertical="center" wrapText="1"/>
    </xf>
    <xf numFmtId="3" fontId="30" fillId="0" borderId="45" xfId="102" applyNumberFormat="1" applyFont="1" applyFill="1" applyBorder="1" applyAlignment="1">
      <alignment horizontal="right" vertical="center" wrapText="1"/>
      <protection/>
    </xf>
    <xf numFmtId="3" fontId="30" fillId="0" borderId="22" xfId="102" applyNumberFormat="1" applyFont="1" applyFill="1" applyBorder="1" applyAlignment="1">
      <alignment horizontal="right" vertical="center" wrapText="1"/>
      <protection/>
    </xf>
    <xf numFmtId="0" fontId="67" fillId="0" borderId="31" xfId="0" applyFont="1" applyFill="1" applyBorder="1" applyAlignment="1">
      <alignment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85" xfId="0" applyFont="1" applyFill="1" applyBorder="1" applyAlignment="1">
      <alignment vertical="center" wrapText="1"/>
    </xf>
    <xf numFmtId="0" fontId="67" fillId="0" borderId="27" xfId="0" applyFont="1" applyFill="1" applyBorder="1" applyAlignment="1">
      <alignment horizontal="center" vertical="center" wrapText="1"/>
    </xf>
    <xf numFmtId="3" fontId="30" fillId="0" borderId="27" xfId="102" applyNumberFormat="1" applyFont="1" applyFill="1" applyBorder="1" applyAlignment="1">
      <alignment horizontal="right" vertical="center" wrapText="1"/>
      <protection/>
    </xf>
    <xf numFmtId="0" fontId="67" fillId="0" borderId="55" xfId="0" applyFont="1" applyFill="1" applyBorder="1" applyAlignment="1">
      <alignment vertical="center" wrapText="1"/>
    </xf>
    <xf numFmtId="0" fontId="67" fillId="0" borderId="52" xfId="0" applyFont="1" applyFill="1" applyBorder="1" applyAlignment="1">
      <alignment horizontal="center" vertical="center" wrapText="1"/>
    </xf>
    <xf numFmtId="3" fontId="30" fillId="0" borderId="52" xfId="102" applyNumberFormat="1" applyFont="1" applyFill="1" applyBorder="1" applyAlignment="1">
      <alignment horizontal="right" vertical="center" wrapText="1"/>
      <protection/>
    </xf>
    <xf numFmtId="10" fontId="11" fillId="0" borderId="0" xfId="102" applyNumberFormat="1" applyAlignment="1">
      <alignment vertical="center"/>
      <protection/>
    </xf>
    <xf numFmtId="0" fontId="27" fillId="0" borderId="0" xfId="104" applyFont="1" applyFill="1" applyAlignment="1">
      <alignment vertical="center"/>
      <protection/>
    </xf>
    <xf numFmtId="169" fontId="25" fillId="0" borderId="0" xfId="104" applyNumberFormat="1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9" fillId="0" borderId="19" xfId="104" applyFont="1" applyFill="1" applyBorder="1" applyAlignment="1" applyProtection="1">
      <alignment horizontal="center" vertical="center" wrapText="1"/>
      <protection/>
    </xf>
    <xf numFmtId="0" fontId="39" fillId="0" borderId="42" xfId="104" applyFont="1" applyFill="1" applyBorder="1" applyAlignment="1" applyProtection="1">
      <alignment horizontal="center" vertical="center" wrapText="1"/>
      <protection/>
    </xf>
    <xf numFmtId="0" fontId="39" fillId="0" borderId="43" xfId="104" applyFont="1" applyFill="1" applyBorder="1" applyAlignment="1" applyProtection="1">
      <alignment horizontal="center" vertical="center" wrapText="1"/>
      <protection/>
    </xf>
    <xf numFmtId="0" fontId="28" fillId="0" borderId="39" xfId="104" applyFont="1" applyFill="1" applyBorder="1" applyAlignment="1" applyProtection="1">
      <alignment horizontal="center" vertical="center"/>
      <protection/>
    </xf>
    <xf numFmtId="0" fontId="28" fillId="0" borderId="26" xfId="104" applyFont="1" applyFill="1" applyBorder="1" applyAlignment="1" applyProtection="1">
      <alignment horizontal="center" vertical="center"/>
      <protection/>
    </xf>
    <xf numFmtId="0" fontId="28" fillId="0" borderId="40" xfId="104" applyFont="1" applyFill="1" applyBorder="1" applyAlignment="1" applyProtection="1">
      <alignment horizontal="center" vertical="center"/>
      <protection/>
    </xf>
    <xf numFmtId="0" fontId="28" fillId="0" borderId="19" xfId="104" applyFont="1" applyFill="1" applyBorder="1" applyAlignment="1" applyProtection="1">
      <alignment horizontal="center" vertical="center"/>
      <protection/>
    </xf>
    <xf numFmtId="0" fontId="28" fillId="0" borderId="45" xfId="104" applyFont="1" applyFill="1" applyBorder="1" applyAlignment="1" applyProtection="1">
      <alignment vertical="center"/>
      <protection/>
    </xf>
    <xf numFmtId="170" fontId="28" fillId="0" borderId="43" xfId="68" applyNumberFormat="1" applyFont="1" applyFill="1" applyBorder="1" applyAlignment="1" applyProtection="1">
      <alignment vertical="center"/>
      <protection locked="0"/>
    </xf>
    <xf numFmtId="0" fontId="28" fillId="0" borderId="25" xfId="104" applyFont="1" applyFill="1" applyBorder="1" applyAlignment="1" applyProtection="1">
      <alignment horizontal="center" vertical="center"/>
      <protection/>
    </xf>
    <xf numFmtId="170" fontId="28" fillId="0" borderId="57" xfId="68" applyNumberFormat="1" applyFont="1" applyFill="1" applyBorder="1" applyAlignment="1" applyProtection="1">
      <alignment vertical="center"/>
      <protection locked="0"/>
    </xf>
    <xf numFmtId="0" fontId="28" fillId="0" borderId="20" xfId="104" applyFont="1" applyFill="1" applyBorder="1" applyAlignment="1" applyProtection="1">
      <alignment horizontal="center" vertical="center"/>
      <protection/>
    </xf>
    <xf numFmtId="0" fontId="68" fillId="0" borderId="22" xfId="0" applyFont="1" applyFill="1" applyBorder="1" applyAlignment="1">
      <alignment horizontal="justify" vertical="center" wrapText="1"/>
    </xf>
    <xf numFmtId="170" fontId="28" fillId="0" borderId="23" xfId="68" applyNumberFormat="1" applyFont="1" applyFill="1" applyBorder="1" applyAlignment="1" applyProtection="1">
      <alignment vertical="center"/>
      <protection locked="0"/>
    </xf>
    <xf numFmtId="0" fontId="68" fillId="0" borderId="22" xfId="0" applyFont="1" applyFill="1" applyBorder="1" applyAlignment="1">
      <alignment vertical="center" wrapText="1"/>
    </xf>
    <xf numFmtId="170" fontId="28" fillId="0" borderId="58" xfId="68" applyNumberFormat="1" applyFont="1" applyFill="1" applyBorder="1" applyAlignment="1" applyProtection="1">
      <alignment vertical="center"/>
      <protection locked="0"/>
    </xf>
    <xf numFmtId="170" fontId="39" fillId="0" borderId="40" xfId="68" applyNumberFormat="1" applyFont="1" applyFill="1" applyBorder="1" applyAlignment="1" applyProtection="1">
      <alignment vertical="center"/>
      <protection/>
    </xf>
    <xf numFmtId="0" fontId="38" fillId="0" borderId="0" xfId="104" applyFont="1" applyFill="1" applyBorder="1" applyAlignment="1">
      <alignment horizontal="justify" vertical="center" wrapText="1"/>
      <protection/>
    </xf>
    <xf numFmtId="169" fontId="9" fillId="0" borderId="0" xfId="0" applyNumberFormat="1" applyFont="1" applyFill="1" applyAlignment="1">
      <alignment horizontal="left" vertical="center" wrapText="1"/>
    </xf>
    <xf numFmtId="10" fontId="3" fillId="0" borderId="26" xfId="0" applyNumberFormat="1" applyFont="1" applyFill="1" applyBorder="1" applyAlignment="1">
      <alignment vertical="center"/>
    </xf>
    <xf numFmtId="10" fontId="7" fillId="0" borderId="45" xfId="0" applyNumberFormat="1" applyFont="1" applyFill="1" applyBorder="1" applyAlignment="1">
      <alignment vertical="center"/>
    </xf>
    <xf numFmtId="10" fontId="3" fillId="0" borderId="26" xfId="0" applyNumberFormat="1" applyFont="1" applyBorder="1" applyAlignment="1">
      <alignment vertical="center"/>
    </xf>
    <xf numFmtId="10" fontId="32" fillId="0" borderId="26" xfId="0" applyNumberFormat="1" applyFont="1" applyFill="1" applyBorder="1" applyAlignment="1">
      <alignment vertical="center"/>
    </xf>
    <xf numFmtId="10" fontId="7" fillId="0" borderId="27" xfId="0" applyNumberFormat="1" applyFont="1" applyBorder="1" applyAlignment="1">
      <alignment vertical="center"/>
    </xf>
    <xf numFmtId="10" fontId="7" fillId="0" borderId="23" xfId="0" applyNumberFormat="1" applyFont="1" applyFill="1" applyBorder="1" applyAlignment="1">
      <alignment horizontal="right" vertical="center"/>
    </xf>
    <xf numFmtId="10" fontId="7" fillId="0" borderId="48" xfId="0" applyNumberFormat="1" applyFont="1" applyFill="1" applyBorder="1" applyAlignment="1">
      <alignment horizontal="right" vertical="center"/>
    </xf>
    <xf numFmtId="10" fontId="46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40" xfId="0" applyNumberFormat="1" applyFont="1" applyFill="1" applyBorder="1" applyAlignment="1">
      <alignment horizontal="right" vertical="center" wrapText="1"/>
    </xf>
    <xf numFmtId="10" fontId="3" fillId="49" borderId="40" xfId="0" applyNumberFormat="1" applyFont="1" applyFill="1" applyBorder="1" applyAlignment="1">
      <alignment horizontal="right" vertical="center" wrapText="1"/>
    </xf>
    <xf numFmtId="10" fontId="7" fillId="49" borderId="43" xfId="0" applyNumberFormat="1" applyFont="1" applyFill="1" applyBorder="1" applyAlignment="1">
      <alignment horizontal="right" vertical="center" wrapText="1"/>
    </xf>
    <xf numFmtId="10" fontId="7" fillId="49" borderId="23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Fill="1" applyBorder="1" applyAlignment="1">
      <alignment horizontal="right" vertical="center" wrapText="1"/>
    </xf>
    <xf numFmtId="10" fontId="7" fillId="0" borderId="48" xfId="0" applyNumberFormat="1" applyFont="1" applyFill="1" applyBorder="1" applyAlignment="1">
      <alignment horizontal="right" vertical="center" wrapText="1"/>
    </xf>
    <xf numFmtId="10" fontId="7" fillId="0" borderId="57" xfId="0" applyNumberFormat="1" applyFont="1" applyFill="1" applyBorder="1" applyAlignment="1">
      <alignment horizontal="right" vertical="center" wrapText="1"/>
    </xf>
    <xf numFmtId="10" fontId="3" fillId="0" borderId="40" xfId="0" applyNumberFormat="1" applyFont="1" applyFill="1" applyBorder="1" applyAlignment="1">
      <alignment horizontal="right" vertical="center"/>
    </xf>
    <xf numFmtId="10" fontId="3" fillId="0" borderId="43" xfId="0" applyNumberFormat="1" applyFont="1" applyFill="1" applyBorder="1" applyAlignment="1">
      <alignment horizontal="right" vertical="center"/>
    </xf>
    <xf numFmtId="10" fontId="3" fillId="0" borderId="23" xfId="0" applyNumberFormat="1" applyFont="1" applyFill="1" applyBorder="1" applyAlignment="1">
      <alignment horizontal="right" vertical="center"/>
    </xf>
    <xf numFmtId="10" fontId="3" fillId="0" borderId="48" xfId="0" applyNumberFormat="1" applyFont="1" applyFill="1" applyBorder="1" applyAlignment="1">
      <alignment horizontal="right" vertical="center"/>
    </xf>
    <xf numFmtId="10" fontId="7" fillId="0" borderId="57" xfId="0" applyNumberFormat="1" applyFont="1" applyFill="1" applyBorder="1" applyAlignment="1">
      <alignment horizontal="right" vertical="center"/>
    </xf>
    <xf numFmtId="10" fontId="3" fillId="0" borderId="23" xfId="0" applyNumberFormat="1" applyFont="1" applyFill="1" applyBorder="1" applyAlignment="1">
      <alignment vertical="center"/>
    </xf>
    <xf numFmtId="10" fontId="3" fillId="0" borderId="40" xfId="0" applyNumberFormat="1" applyFont="1" applyFill="1" applyBorder="1" applyAlignment="1">
      <alignment vertical="center"/>
    </xf>
    <xf numFmtId="10" fontId="3" fillId="0" borderId="57" xfId="0" applyNumberFormat="1" applyFont="1" applyFill="1" applyBorder="1" applyAlignment="1">
      <alignment vertical="center"/>
    </xf>
    <xf numFmtId="10" fontId="7" fillId="0" borderId="58" xfId="0" applyNumberFormat="1" applyFont="1" applyFill="1" applyBorder="1" applyAlignment="1">
      <alignment vertical="center"/>
    </xf>
    <xf numFmtId="10" fontId="7" fillId="0" borderId="23" xfId="0" applyNumberFormat="1" applyFont="1" applyFill="1" applyBorder="1" applyAlignment="1">
      <alignment vertical="center"/>
    </xf>
    <xf numFmtId="10" fontId="3" fillId="0" borderId="40" xfId="0" applyNumberFormat="1" applyFont="1" applyBorder="1" applyAlignment="1">
      <alignment vertical="center"/>
    </xf>
    <xf numFmtId="10" fontId="3" fillId="0" borderId="49" xfId="0" applyNumberFormat="1" applyFont="1" applyFill="1" applyBorder="1" applyAlignment="1">
      <alignment horizontal="centerContinuous" vertical="center" wrapText="1"/>
    </xf>
    <xf numFmtId="10" fontId="7" fillId="0" borderId="57" xfId="0" applyNumberFormat="1" applyFont="1" applyFill="1" applyBorder="1" applyAlignment="1">
      <alignment vertical="center"/>
    </xf>
    <xf numFmtId="10" fontId="32" fillId="0" borderId="40" xfId="0" applyNumberFormat="1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10" fontId="7" fillId="0" borderId="58" xfId="0" applyNumberFormat="1" applyFont="1" applyBorder="1" applyAlignment="1">
      <alignment vertical="center"/>
    </xf>
    <xf numFmtId="10" fontId="3" fillId="0" borderId="56" xfId="0" applyNumberFormat="1" applyFont="1" applyBorder="1" applyAlignment="1">
      <alignment vertical="center"/>
    </xf>
    <xf numFmtId="169" fontId="38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7" xfId="0" applyFill="1" applyBorder="1" applyAlignment="1" applyProtection="1">
      <alignment horizontal="right" vertical="center" wrapText="1" indent="1"/>
      <protection/>
    </xf>
    <xf numFmtId="10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7" xfId="0" applyFont="1" applyFill="1" applyBorder="1" applyAlignment="1" applyProtection="1">
      <alignment horizontal="right" vertical="center" wrapText="1" indent="1"/>
      <protection/>
    </xf>
    <xf numFmtId="169" fontId="42" fillId="0" borderId="59" xfId="0" applyNumberFormat="1" applyFont="1" applyFill="1" applyBorder="1" applyAlignment="1" applyProtection="1">
      <alignment horizontal="center" vertical="center" wrapText="1"/>
      <protection/>
    </xf>
    <xf numFmtId="3" fontId="12" fillId="0" borderId="26" xfId="102" applyNumberFormat="1" applyFont="1" applyFill="1" applyBorder="1" applyAlignment="1">
      <alignment horizontal="right" vertical="center"/>
      <protection/>
    </xf>
    <xf numFmtId="10" fontId="12" fillId="0" borderId="40" xfId="102" applyNumberFormat="1" applyFont="1" applyFill="1" applyBorder="1" applyAlignment="1">
      <alignment horizontal="right" vertical="center"/>
      <protection/>
    </xf>
    <xf numFmtId="3" fontId="15" fillId="0" borderId="22" xfId="102" applyNumberFormat="1" applyFont="1" applyFill="1" applyBorder="1" applyAlignment="1">
      <alignment vertical="center"/>
      <protection/>
    </xf>
    <xf numFmtId="3" fontId="7" fillId="0" borderId="19" xfId="102" applyNumberFormat="1" applyFont="1" applyFill="1" applyBorder="1" applyAlignment="1">
      <alignment horizontal="right" vertical="center"/>
      <protection/>
    </xf>
    <xf numFmtId="3" fontId="7" fillId="0" borderId="20" xfId="102" applyNumberFormat="1" applyFont="1" applyFill="1" applyBorder="1" applyAlignment="1">
      <alignment horizontal="right" vertical="center"/>
      <protection/>
    </xf>
    <xf numFmtId="10" fontId="34" fillId="0" borderId="64" xfId="102" applyNumberFormat="1" applyFont="1" applyFill="1" applyBorder="1" applyAlignment="1">
      <alignment horizontal="right"/>
      <protection/>
    </xf>
    <xf numFmtId="0" fontId="11" fillId="0" borderId="0" xfId="102" applyFont="1" applyBorder="1">
      <alignment/>
      <protection/>
    </xf>
    <xf numFmtId="3" fontId="18" fillId="0" borderId="91" xfId="102" applyNumberFormat="1" applyFont="1" applyBorder="1" applyAlignment="1">
      <alignment horizontal="right"/>
      <protection/>
    </xf>
    <xf numFmtId="3" fontId="18" fillId="0" borderId="92" xfId="102" applyNumberFormat="1" applyFont="1" applyBorder="1" applyAlignment="1">
      <alignment horizontal="right"/>
      <protection/>
    </xf>
    <xf numFmtId="10" fontId="18" fillId="0" borderId="48" xfId="102" applyNumberFormat="1" applyFont="1" applyFill="1" applyBorder="1" applyAlignment="1">
      <alignment horizontal="right"/>
      <protection/>
    </xf>
    <xf numFmtId="3" fontId="28" fillId="0" borderId="0" xfId="105" applyNumberFormat="1" applyFill="1" applyProtection="1">
      <alignment/>
      <protection/>
    </xf>
    <xf numFmtId="3" fontId="28" fillId="0" borderId="0" xfId="105" applyNumberFormat="1" applyFill="1" applyAlignment="1" applyProtection="1">
      <alignment wrapText="1"/>
      <protection locked="0"/>
    </xf>
    <xf numFmtId="3" fontId="28" fillId="0" borderId="0" xfId="105" applyNumberFormat="1" applyFill="1" applyProtection="1">
      <alignment/>
      <protection locked="0"/>
    </xf>
    <xf numFmtId="3" fontId="29" fillId="0" borderId="0" xfId="101" applyNumberFormat="1" applyFont="1" applyFill="1" applyAlignment="1">
      <alignment horizontal="right"/>
      <protection/>
    </xf>
    <xf numFmtId="3" fontId="42" fillId="0" borderId="47" xfId="105" applyNumberFormat="1" applyFont="1" applyFill="1" applyBorder="1" applyAlignment="1" applyProtection="1">
      <alignment horizontal="center" vertical="center" wrapText="1"/>
      <protection/>
    </xf>
    <xf numFmtId="3" fontId="42" fillId="0" borderId="38" xfId="105" applyNumberFormat="1" applyFont="1" applyFill="1" applyBorder="1" applyAlignment="1" applyProtection="1">
      <alignment horizontal="center" vertical="center" wrapText="1"/>
      <protection/>
    </xf>
    <xf numFmtId="3" fontId="42" fillId="0" borderId="38" xfId="105" applyNumberFormat="1" applyFont="1" applyFill="1" applyBorder="1" applyAlignment="1" applyProtection="1">
      <alignment horizontal="center" vertical="center"/>
      <protection/>
    </xf>
    <xf numFmtId="3" fontId="42" fillId="0" borderId="56" xfId="105" applyNumberFormat="1" applyFont="1" applyFill="1" applyBorder="1" applyAlignment="1" applyProtection="1">
      <alignment horizontal="center" vertical="center"/>
      <protection/>
    </xf>
    <xf numFmtId="3" fontId="38" fillId="0" borderId="39" xfId="105" applyNumberFormat="1" applyFont="1" applyFill="1" applyBorder="1" applyAlignment="1" applyProtection="1">
      <alignment horizontal="left" vertical="center" indent="1"/>
      <protection/>
    </xf>
    <xf numFmtId="3" fontId="28" fillId="0" borderId="0" xfId="105" applyNumberFormat="1" applyFill="1" applyAlignment="1" applyProtection="1">
      <alignment vertical="center"/>
      <protection/>
    </xf>
    <xf numFmtId="3" fontId="38" fillId="0" borderId="41" xfId="105" applyNumberFormat="1" applyFont="1" applyFill="1" applyBorder="1" applyAlignment="1" applyProtection="1">
      <alignment horizontal="left" vertical="center" indent="1"/>
      <protection/>
    </xf>
    <xf numFmtId="3" fontId="38" fillId="0" borderId="52" xfId="105" applyNumberFormat="1" applyFont="1" applyFill="1" applyBorder="1" applyAlignment="1" applyProtection="1">
      <alignment horizontal="left" vertical="center" wrapText="1"/>
      <protection/>
    </xf>
    <xf numFmtId="3" fontId="38" fillId="0" borderId="52" xfId="105" applyNumberFormat="1" applyFont="1" applyFill="1" applyBorder="1" applyAlignment="1" applyProtection="1">
      <alignment vertical="center"/>
      <protection locked="0"/>
    </xf>
    <xf numFmtId="3" fontId="38" fillId="0" borderId="59" xfId="105" applyNumberFormat="1" applyFont="1" applyFill="1" applyBorder="1" applyAlignment="1" applyProtection="1">
      <alignment vertical="center"/>
      <protection/>
    </xf>
    <xf numFmtId="3" fontId="38" fillId="0" borderId="20" xfId="105" applyNumberFormat="1" applyFont="1" applyFill="1" applyBorder="1" applyAlignment="1" applyProtection="1">
      <alignment horizontal="left" vertical="center" indent="1"/>
      <protection/>
    </xf>
    <xf numFmtId="3" fontId="38" fillId="0" borderId="22" xfId="105" applyNumberFormat="1" applyFont="1" applyFill="1" applyBorder="1" applyAlignment="1" applyProtection="1">
      <alignment horizontal="left" vertical="center" wrapText="1"/>
      <protection/>
    </xf>
    <xf numFmtId="3" fontId="38" fillId="0" borderId="22" xfId="105" applyNumberFormat="1" applyFont="1" applyFill="1" applyBorder="1" applyAlignment="1" applyProtection="1">
      <alignment vertical="center"/>
      <protection locked="0"/>
    </xf>
    <xf numFmtId="3" fontId="38" fillId="0" borderId="23" xfId="105" applyNumberFormat="1" applyFont="1" applyFill="1" applyBorder="1" applyAlignment="1" applyProtection="1">
      <alignment vertical="center"/>
      <protection/>
    </xf>
    <xf numFmtId="3" fontId="28" fillId="0" borderId="0" xfId="105" applyNumberFormat="1" applyFill="1" applyAlignment="1" applyProtection="1">
      <alignment vertical="center"/>
      <protection locked="0"/>
    </xf>
    <xf numFmtId="3" fontId="38" fillId="0" borderId="45" xfId="105" applyNumberFormat="1" applyFont="1" applyFill="1" applyBorder="1" applyAlignment="1" applyProtection="1">
      <alignment horizontal="left" vertical="center" wrapText="1"/>
      <protection/>
    </xf>
    <xf numFmtId="3" fontId="38" fillId="0" borderId="45" xfId="105" applyNumberFormat="1" applyFont="1" applyFill="1" applyBorder="1" applyAlignment="1" applyProtection="1">
      <alignment vertical="center"/>
      <protection locked="0"/>
    </xf>
    <xf numFmtId="3" fontId="42" fillId="0" borderId="26" xfId="105" applyNumberFormat="1" applyFont="1" applyFill="1" applyBorder="1" applyAlignment="1" applyProtection="1">
      <alignment horizontal="left" vertical="center" wrapText="1"/>
      <protection/>
    </xf>
    <xf numFmtId="3" fontId="46" fillId="0" borderId="26" xfId="105" applyNumberFormat="1" applyFont="1" applyFill="1" applyBorder="1" applyAlignment="1" applyProtection="1">
      <alignment vertical="center"/>
      <protection/>
    </xf>
    <xf numFmtId="3" fontId="46" fillId="0" borderId="40" xfId="105" applyNumberFormat="1" applyFont="1" applyFill="1" applyBorder="1" applyAlignment="1" applyProtection="1">
      <alignment vertical="center"/>
      <protection/>
    </xf>
    <xf numFmtId="3" fontId="38" fillId="0" borderId="57" xfId="105" applyNumberFormat="1" applyFont="1" applyFill="1" applyBorder="1" applyAlignment="1" applyProtection="1">
      <alignment vertical="center"/>
      <protection/>
    </xf>
    <xf numFmtId="3" fontId="42" fillId="0" borderId="26" xfId="105" applyNumberFormat="1" applyFont="1" applyFill="1" applyBorder="1" applyAlignment="1" applyProtection="1">
      <alignment horizontal="left" wrapText="1"/>
      <protection/>
    </xf>
    <xf numFmtId="3" fontId="46" fillId="0" borderId="26" xfId="105" applyNumberFormat="1" applyFont="1" applyFill="1" applyBorder="1" applyProtection="1">
      <alignment/>
      <protection/>
    </xf>
    <xf numFmtId="3" fontId="46" fillId="0" borderId="40" xfId="105" applyNumberFormat="1" applyFont="1" applyFill="1" applyBorder="1" applyProtection="1">
      <alignment/>
      <protection/>
    </xf>
    <xf numFmtId="3" fontId="52" fillId="0" borderId="0" xfId="105" applyNumberFormat="1" applyFont="1" applyFill="1" applyProtection="1">
      <alignment/>
      <protection/>
    </xf>
    <xf numFmtId="3" fontId="25" fillId="0" borderId="0" xfId="105" applyNumberFormat="1" applyFont="1" applyFill="1" applyAlignment="1" applyProtection="1">
      <alignment wrapText="1"/>
      <protection locked="0"/>
    </xf>
    <xf numFmtId="3" fontId="39" fillId="0" borderId="0" xfId="105" applyNumberFormat="1" applyFont="1" applyFill="1" applyProtection="1">
      <alignment/>
      <protection locked="0"/>
    </xf>
    <xf numFmtId="3" fontId="3" fillId="0" borderId="40" xfId="0" applyNumberFormat="1" applyFont="1" applyFill="1" applyBorder="1" applyAlignment="1">
      <alignment vertical="center"/>
    </xf>
    <xf numFmtId="3" fontId="7" fillId="0" borderId="57" xfId="0" applyNumberFormat="1" applyFont="1" applyFill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2" fillId="0" borderId="40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horizontal="right" vertical="center"/>
    </xf>
    <xf numFmtId="3" fontId="7" fillId="0" borderId="58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0" fontId="12" fillId="1" borderId="23" xfId="102" applyFont="1" applyFill="1" applyBorder="1" applyAlignment="1">
      <alignment horizontal="center" vertical="center"/>
      <protection/>
    </xf>
    <xf numFmtId="0" fontId="12" fillId="1" borderId="20" xfId="102" applyFont="1" applyFill="1" applyBorder="1" applyAlignment="1">
      <alignment horizontal="center" vertical="center"/>
      <protection/>
    </xf>
    <xf numFmtId="3" fontId="58" fillId="0" borderId="51" xfId="101" applyNumberFormat="1" applyFont="1" applyBorder="1" applyAlignment="1">
      <alignment horizontal="right"/>
      <protection/>
    </xf>
    <xf numFmtId="0" fontId="58" fillId="0" borderId="62" xfId="101" applyFont="1" applyFill="1" applyBorder="1">
      <alignment/>
      <protection/>
    </xf>
    <xf numFmtId="3" fontId="58" fillId="0" borderId="51" xfId="101" applyNumberFormat="1" applyFont="1" applyFill="1" applyBorder="1">
      <alignment/>
      <protection/>
    </xf>
    <xf numFmtId="0" fontId="12" fillId="1" borderId="76" xfId="102" applyFont="1" applyFill="1" applyBorder="1" applyAlignment="1">
      <alignment horizontal="center" vertical="center"/>
      <protection/>
    </xf>
    <xf numFmtId="3" fontId="11" fillId="0" borderId="55" xfId="102" applyNumberFormat="1" applyFont="1" applyBorder="1">
      <alignment/>
      <protection/>
    </xf>
    <xf numFmtId="10" fontId="7" fillId="0" borderId="22" xfId="0" applyNumberFormat="1" applyFont="1" applyBorder="1" applyAlignment="1">
      <alignment vertical="center"/>
    </xf>
    <xf numFmtId="10" fontId="7" fillId="0" borderId="22" xfId="0" applyNumberFormat="1" applyFont="1" applyFill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7" fillId="0" borderId="27" xfId="0" applyNumberFormat="1" applyFont="1" applyFill="1" applyBorder="1" applyAlignment="1">
      <alignment vertical="center"/>
    </xf>
    <xf numFmtId="10" fontId="4" fillId="0" borderId="52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30" fillId="0" borderId="93" xfId="102" applyNumberFormat="1" applyFont="1" applyBorder="1" applyAlignment="1">
      <alignment horizontal="right" vertical="center" wrapText="1"/>
      <protection/>
    </xf>
    <xf numFmtId="10" fontId="58" fillId="0" borderId="45" xfId="101" applyNumberFormat="1" applyFont="1" applyBorder="1" applyAlignment="1">
      <alignment horizontal="right"/>
      <protection/>
    </xf>
    <xf numFmtId="10" fontId="58" fillId="0" borderId="51" xfId="101" applyNumberFormat="1" applyFont="1" applyBorder="1" applyAlignment="1">
      <alignment horizontal="right"/>
      <protection/>
    </xf>
    <xf numFmtId="10" fontId="58" fillId="0" borderId="26" xfId="101" applyNumberFormat="1" applyFont="1" applyBorder="1" applyAlignment="1">
      <alignment horizontal="right" vertical="center"/>
      <protection/>
    </xf>
    <xf numFmtId="10" fontId="58" fillId="0" borderId="26" xfId="101" applyNumberFormat="1" applyFont="1" applyFill="1" applyBorder="1" applyAlignment="1">
      <alignment vertical="center"/>
      <protection/>
    </xf>
    <xf numFmtId="10" fontId="58" fillId="0" borderId="26" xfId="101" applyNumberFormat="1" applyFont="1" applyFill="1" applyBorder="1">
      <alignment/>
      <protection/>
    </xf>
    <xf numFmtId="10" fontId="58" fillId="0" borderId="22" xfId="101" applyNumberFormat="1" applyFont="1" applyBorder="1">
      <alignment/>
      <protection/>
    </xf>
    <xf numFmtId="10" fontId="58" fillId="0" borderId="27" xfId="101" applyNumberFormat="1" applyFont="1" applyBorder="1">
      <alignment/>
      <protection/>
    </xf>
    <xf numFmtId="3" fontId="3" fillId="0" borderId="50" xfId="0" applyNumberFormat="1" applyFont="1" applyFill="1" applyBorder="1" applyAlignment="1">
      <alignment horizontal="center" vertical="center" wrapText="1"/>
    </xf>
    <xf numFmtId="169" fontId="46" fillId="0" borderId="60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0" applyFont="1" applyFill="1" applyBorder="1" applyAlignment="1">
      <alignment horizontal="centerContinuous" vertical="center" wrapText="1"/>
    </xf>
    <xf numFmtId="3" fontId="30" fillId="0" borderId="64" xfId="102" applyNumberFormat="1" applyFont="1" applyFill="1" applyBorder="1" applyAlignment="1">
      <alignment vertical="center"/>
      <protection/>
    </xf>
    <xf numFmtId="3" fontId="30" fillId="0" borderId="65" xfId="102" applyNumberFormat="1" applyFont="1" applyFill="1" applyBorder="1" applyAlignment="1">
      <alignment horizontal="right" vertical="center" wrapText="1"/>
      <protection/>
    </xf>
    <xf numFmtId="3" fontId="30" fillId="0" borderId="93" xfId="102" applyNumberFormat="1" applyFont="1" applyFill="1" applyBorder="1" applyAlignment="1">
      <alignment horizontal="right" vertical="center" wrapText="1"/>
      <protection/>
    </xf>
    <xf numFmtId="3" fontId="18" fillId="0" borderId="74" xfId="102" applyNumberFormat="1" applyFont="1" applyBorder="1" applyAlignment="1">
      <alignment horizontal="right"/>
      <protection/>
    </xf>
    <xf numFmtId="0" fontId="12" fillId="1" borderId="34" xfId="102" applyFont="1" applyFill="1" applyBorder="1" applyAlignment="1">
      <alignment horizontal="center" vertical="center"/>
      <protection/>
    </xf>
    <xf numFmtId="0" fontId="3" fillId="0" borderId="60" xfId="0" applyFont="1" applyFill="1" applyBorder="1" applyAlignment="1">
      <alignment horizontal="centerContinuous" vertical="center" wrapText="1"/>
    </xf>
    <xf numFmtId="0" fontId="67" fillId="0" borderId="85" xfId="0" applyFont="1" applyBorder="1" applyAlignment="1">
      <alignment vertical="center" wrapText="1"/>
    </xf>
    <xf numFmtId="0" fontId="67" fillId="0" borderId="94" xfId="0" applyFont="1" applyBorder="1" applyAlignment="1">
      <alignment horizontal="center" vertical="center" wrapText="1"/>
    </xf>
    <xf numFmtId="3" fontId="30" fillId="0" borderId="94" xfId="102" applyNumberFormat="1" applyFont="1" applyFill="1" applyBorder="1" applyAlignment="1">
      <alignment vertical="center"/>
      <protection/>
    </xf>
    <xf numFmtId="10" fontId="30" fillId="0" borderId="94" xfId="102" applyNumberFormat="1" applyFont="1" applyBorder="1" applyAlignment="1">
      <alignment horizontal="right" vertical="center" wrapText="1"/>
      <protection/>
    </xf>
    <xf numFmtId="169" fontId="35" fillId="0" borderId="54" xfId="104" applyNumberFormat="1" applyFont="1" applyFill="1" applyBorder="1" applyAlignment="1" applyProtection="1">
      <alignment vertical="center"/>
      <protection/>
    </xf>
    <xf numFmtId="3" fontId="11" fillId="0" borderId="55" xfId="102" applyNumberFormat="1" applyBorder="1" applyAlignment="1">
      <alignment vertical="center"/>
      <protection/>
    </xf>
    <xf numFmtId="0" fontId="58" fillId="0" borderId="21" xfId="101" applyFont="1" applyBorder="1">
      <alignment/>
      <protection/>
    </xf>
    <xf numFmtId="0" fontId="1" fillId="0" borderId="35" xfId="101" applyFont="1" applyFill="1" applyBorder="1">
      <alignment/>
      <protection/>
    </xf>
    <xf numFmtId="3" fontId="1" fillId="0" borderId="27" xfId="101" applyNumberFormat="1" applyFont="1" applyFill="1" applyBorder="1">
      <alignment/>
      <protection/>
    </xf>
    <xf numFmtId="0" fontId="1" fillId="0" borderId="35" xfId="101" applyFont="1" applyBorder="1">
      <alignment/>
      <protection/>
    </xf>
    <xf numFmtId="0" fontId="1" fillId="0" borderId="35" xfId="101" applyFont="1" applyBorder="1" applyAlignment="1">
      <alignment wrapText="1"/>
      <protection/>
    </xf>
    <xf numFmtId="3" fontId="1" fillId="0" borderId="0" xfId="101" applyNumberFormat="1" applyFill="1">
      <alignment/>
      <protection/>
    </xf>
    <xf numFmtId="10" fontId="58" fillId="0" borderId="51" xfId="101" applyNumberFormat="1" applyFont="1" applyFill="1" applyBorder="1" applyAlignment="1">
      <alignment horizontal="center"/>
      <protection/>
    </xf>
    <xf numFmtId="0" fontId="30" fillId="0" borderId="22" xfId="102" applyFont="1" applyFill="1" applyBorder="1" applyAlignment="1">
      <alignment vertical="center" wrapText="1"/>
      <protection/>
    </xf>
    <xf numFmtId="0" fontId="0" fillId="0" borderId="45" xfId="102" applyFont="1" applyFill="1" applyBorder="1" applyAlignment="1">
      <alignment horizontal="left" vertical="center" wrapText="1"/>
      <protection/>
    </xf>
    <xf numFmtId="3" fontId="7" fillId="0" borderId="25" xfId="102" applyNumberFormat="1" applyFont="1" applyFill="1" applyBorder="1" applyAlignment="1">
      <alignment horizontal="right" vertical="center"/>
      <protection/>
    </xf>
    <xf numFmtId="169" fontId="46" fillId="0" borderId="52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59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42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42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43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43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19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2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2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23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3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0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28" xfId="0" applyFont="1" applyFill="1" applyBorder="1" applyAlignment="1" applyProtection="1">
      <alignment horizontal="center" vertical="center" wrapText="1"/>
      <protection/>
    </xf>
    <xf numFmtId="0" fontId="38" fillId="0" borderId="27" xfId="0" applyFont="1" applyFill="1" applyBorder="1" applyAlignment="1" applyProtection="1">
      <alignment horizontal="left" vertical="center" wrapText="1" indent="1"/>
      <protection/>
    </xf>
    <xf numFmtId="169" fontId="46" fillId="0" borderId="27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7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58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58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74" xfId="0" applyFont="1" applyFill="1" applyBorder="1" applyAlignment="1" applyProtection="1">
      <alignment horizontal="left" vertical="center" wrapText="1" indent="1"/>
      <protection/>
    </xf>
    <xf numFmtId="169" fontId="46" fillId="0" borderId="21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48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4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48" xfId="0" applyNumberFormat="1" applyFont="1" applyFill="1" applyBorder="1" applyAlignment="1" applyProtection="1">
      <alignment horizontal="right" vertical="center" wrapText="1" indent="1"/>
      <protection/>
    </xf>
    <xf numFmtId="0" fontId="38" fillId="0" borderId="72" xfId="0" applyFont="1" applyFill="1" applyBorder="1" applyAlignment="1" applyProtection="1">
      <alignment horizontal="left" vertical="center" wrapText="1" indent="1"/>
      <protection/>
    </xf>
    <xf numFmtId="0" fontId="38" fillId="0" borderId="64" xfId="0" applyFont="1" applyFill="1" applyBorder="1" applyAlignment="1" applyProtection="1">
      <alignment horizontal="left" vertical="center" wrapText="1" indent="1"/>
      <protection/>
    </xf>
    <xf numFmtId="0" fontId="38" fillId="0" borderId="65" xfId="0" applyFont="1" applyFill="1" applyBorder="1" applyAlignment="1" applyProtection="1">
      <alignment horizontal="left" vertical="center" wrapText="1" indent="1"/>
      <protection/>
    </xf>
    <xf numFmtId="169" fontId="38" fillId="0" borderId="19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0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21" xfId="0" applyFont="1" applyFill="1" applyBorder="1" applyAlignment="1" applyProtection="1">
      <alignment horizontal="center" vertical="center" wrapText="1"/>
      <protection/>
    </xf>
    <xf numFmtId="0" fontId="37" fillId="0" borderId="24" xfId="0" applyFont="1" applyFill="1" applyBorder="1" applyAlignment="1" applyProtection="1">
      <alignment horizontal="center" vertical="center" wrapText="1"/>
      <protection/>
    </xf>
    <xf numFmtId="0" fontId="14" fillId="0" borderId="0" xfId="102" applyFont="1" applyAlignment="1">
      <alignment horizontal="center"/>
      <protection/>
    </xf>
    <xf numFmtId="3" fontId="0" fillId="0" borderId="67" xfId="0" applyNumberFormat="1" applyFont="1" applyBorder="1" applyAlignment="1">
      <alignment/>
    </xf>
    <xf numFmtId="0" fontId="18" fillId="0" borderId="0" xfId="102" applyFont="1" applyAlignment="1">
      <alignment wrapText="1"/>
      <protection/>
    </xf>
    <xf numFmtId="0" fontId="3" fillId="0" borderId="37" xfId="0" applyFont="1" applyFill="1" applyBorder="1" applyAlignment="1">
      <alignment horizontal="centerContinuous" vertical="center" wrapText="1"/>
    </xf>
    <xf numFmtId="3" fontId="7" fillId="0" borderId="23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7" fillId="0" borderId="58" xfId="0" applyNumberFormat="1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3" fontId="7" fillId="0" borderId="48" xfId="0" applyNumberFormat="1" applyFont="1" applyFill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horizontal="right" vertical="center"/>
    </xf>
    <xf numFmtId="3" fontId="15" fillId="0" borderId="22" xfId="102" applyNumberFormat="1" applyFont="1" applyFill="1" applyBorder="1" applyAlignment="1">
      <alignment vertical="center"/>
      <protection/>
    </xf>
    <xf numFmtId="10" fontId="7" fillId="0" borderId="43" xfId="0" applyNumberFormat="1" applyFont="1" applyFill="1" applyBorder="1" applyAlignment="1">
      <alignment horizontal="right" vertical="center"/>
    </xf>
    <xf numFmtId="3" fontId="7" fillId="49" borderId="23" xfId="0" applyNumberFormat="1" applyFont="1" applyFill="1" applyBorder="1" applyAlignment="1">
      <alignment horizontal="right" vertical="center" wrapText="1"/>
    </xf>
    <xf numFmtId="10" fontId="3" fillId="0" borderId="40" xfId="0" applyNumberFormat="1" applyFont="1" applyFill="1" applyBorder="1" applyAlignment="1">
      <alignment horizontal="centerContinuous" vertical="center" wrapText="1"/>
    </xf>
    <xf numFmtId="0" fontId="46" fillId="0" borderId="25" xfId="0" applyFont="1" applyFill="1" applyBorder="1" applyAlignment="1" applyProtection="1">
      <alignment horizontal="center" vertical="center" wrapText="1"/>
      <protection/>
    </xf>
    <xf numFmtId="169" fontId="46" fillId="0" borderId="45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45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67" fillId="0" borderId="35" xfId="0" applyFont="1" applyBorder="1" applyAlignment="1">
      <alignment vertical="center" wrapText="1"/>
    </xf>
    <xf numFmtId="0" fontId="67" fillId="0" borderId="27" xfId="0" applyFont="1" applyBorder="1" applyAlignment="1">
      <alignment horizontal="center" vertical="center" wrapText="1"/>
    </xf>
    <xf numFmtId="3" fontId="30" fillId="0" borderId="27" xfId="102" applyNumberFormat="1" applyFont="1" applyFill="1" applyBorder="1" applyAlignment="1">
      <alignment vertical="center"/>
      <protection/>
    </xf>
    <xf numFmtId="10" fontId="30" fillId="0" borderId="27" xfId="102" applyNumberFormat="1" applyFont="1" applyBorder="1" applyAlignment="1">
      <alignment horizontal="right" vertical="center" wrapText="1"/>
      <protection/>
    </xf>
    <xf numFmtId="3" fontId="34" fillId="51" borderId="64" xfId="102" applyNumberFormat="1" applyFont="1" applyFill="1" applyBorder="1" applyAlignment="1">
      <alignment horizontal="right"/>
      <protection/>
    </xf>
    <xf numFmtId="3" fontId="14" fillId="0" borderId="0" xfId="102" applyNumberFormat="1" applyFont="1" applyAlignment="1">
      <alignment horizontal="center"/>
      <protection/>
    </xf>
    <xf numFmtId="3" fontId="34" fillId="51" borderId="65" xfId="102" applyNumberFormat="1" applyFont="1" applyFill="1" applyBorder="1" applyAlignment="1">
      <alignment horizontal="right"/>
      <protection/>
    </xf>
    <xf numFmtId="3" fontId="34" fillId="51" borderId="27" xfId="102" applyNumberFormat="1" applyFont="1" applyFill="1" applyBorder="1" applyAlignment="1">
      <alignment horizontal="right"/>
      <protection/>
    </xf>
    <xf numFmtId="3" fontId="15" fillId="0" borderId="0" xfId="102" applyNumberFormat="1" applyFont="1" applyFill="1">
      <alignment/>
      <protection/>
    </xf>
    <xf numFmtId="3" fontId="34" fillId="0" borderId="65" xfId="102" applyNumberFormat="1" applyFont="1" applyFill="1" applyBorder="1" applyAlignment="1">
      <alignment horizontal="right"/>
      <protection/>
    </xf>
    <xf numFmtId="3" fontId="34" fillId="0" borderId="27" xfId="102" applyNumberFormat="1" applyFont="1" applyFill="1" applyBorder="1" applyAlignment="1">
      <alignment horizontal="right"/>
      <protection/>
    </xf>
    <xf numFmtId="3" fontId="123" fillId="0" borderId="0" xfId="0" applyNumberFormat="1" applyFont="1" applyBorder="1" applyAlignment="1">
      <alignment/>
    </xf>
    <xf numFmtId="0" fontId="124" fillId="0" borderId="0" xfId="0" applyFont="1" applyAlignment="1">
      <alignment/>
    </xf>
    <xf numFmtId="3" fontId="7" fillId="0" borderId="45" xfId="0" applyNumberFormat="1" applyFont="1" applyFill="1" applyBorder="1" applyAlignment="1" applyProtection="1">
      <alignment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10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21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42" xfId="0" applyNumberFormat="1" applyFont="1" applyFill="1" applyBorder="1" applyAlignment="1" applyProtection="1">
      <alignment horizontal="right" vertical="center"/>
      <protection locked="0"/>
    </xf>
    <xf numFmtId="3" fontId="7" fillId="0" borderId="45" xfId="0" applyNumberFormat="1" applyFont="1" applyFill="1" applyBorder="1" applyAlignment="1" applyProtection="1">
      <alignment horizontal="right" vertical="center"/>
      <protection locked="0"/>
    </xf>
    <xf numFmtId="10" fontId="7" fillId="0" borderId="57" xfId="0" applyNumberFormat="1" applyFont="1" applyFill="1" applyBorder="1" applyAlignment="1" applyProtection="1">
      <alignment horizontal="right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10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10" fontId="7" fillId="0" borderId="58" xfId="0" applyNumberFormat="1" applyFont="1" applyFill="1" applyBorder="1" applyAlignment="1" applyProtection="1">
      <alignment vertical="center"/>
      <protection locked="0"/>
    </xf>
    <xf numFmtId="3" fontId="125" fillId="0" borderId="0" xfId="102" applyNumberFormat="1" applyFont="1" applyFill="1" applyBorder="1" applyAlignment="1">
      <alignment horizontal="right" vertical="center"/>
      <protection/>
    </xf>
    <xf numFmtId="0" fontId="126" fillId="0" borderId="0" xfId="102" applyFont="1">
      <alignment/>
      <protection/>
    </xf>
    <xf numFmtId="3" fontId="11" fillId="0" borderId="33" xfId="102" applyNumberFormat="1" applyFont="1" applyBorder="1" applyAlignment="1">
      <alignment vertical="center"/>
      <protection/>
    </xf>
    <xf numFmtId="3" fontId="7" fillId="0" borderId="57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57" xfId="0" applyNumberFormat="1" applyFont="1" applyFill="1" applyBorder="1" applyAlignment="1" applyProtection="1">
      <alignment horizontal="right" vertical="center"/>
      <protection locked="0"/>
    </xf>
    <xf numFmtId="3" fontId="7" fillId="0" borderId="48" xfId="0" applyNumberFormat="1" applyFont="1" applyFill="1" applyBorder="1" applyAlignment="1">
      <alignment horizontal="right" vertical="center"/>
    </xf>
    <xf numFmtId="3" fontId="7" fillId="0" borderId="58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9" fontId="38" fillId="0" borderId="57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5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3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0" xfId="0" applyNumberFormat="1" applyFont="1" applyAlignment="1">
      <alignment vertical="center"/>
    </xf>
    <xf numFmtId="49" fontId="4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2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3" fillId="0" borderId="39" xfId="0" applyNumberFormat="1" applyFont="1" applyFill="1" applyBorder="1" applyAlignment="1">
      <alignment horizontal="right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4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10" fontId="3" fillId="0" borderId="40" xfId="0" applyNumberFormat="1" applyFont="1" applyFill="1" applyBorder="1" applyAlignment="1">
      <alignment horizontal="right" vertical="center" wrapText="1"/>
    </xf>
    <xf numFmtId="49" fontId="0" fillId="0" borderId="78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right" vertical="center" wrapText="1"/>
    </xf>
    <xf numFmtId="3" fontId="7" fillId="0" borderId="42" xfId="0" applyNumberFormat="1" applyFont="1" applyFill="1" applyBorder="1" applyAlignment="1">
      <alignment horizontal="right" vertical="center" wrapText="1"/>
    </xf>
    <xf numFmtId="10" fontId="7" fillId="0" borderId="43" xfId="0" applyNumberFormat="1" applyFont="1" applyFill="1" applyBorder="1" applyAlignment="1">
      <alignment horizontal="right" vertical="center" wrapText="1"/>
    </xf>
    <xf numFmtId="3" fontId="7" fillId="0" borderId="43" xfId="0" applyNumberFormat="1" applyFont="1" applyFill="1" applyBorder="1" applyAlignment="1">
      <alignment horizontal="right" vertical="center" wrapText="1"/>
    </xf>
    <xf numFmtId="49" fontId="0" fillId="0" borderId="31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left" wrapText="1"/>
    </xf>
    <xf numFmtId="49" fontId="0" fillId="0" borderId="61" xfId="0" applyNumberFormat="1" applyFont="1" applyFill="1" applyBorder="1" applyAlignment="1">
      <alignment horizontal="left"/>
    </xf>
    <xf numFmtId="3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48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3" xfId="0" applyNumberFormat="1" applyFont="1" applyFill="1" applyBorder="1" applyAlignment="1">
      <alignment horizontal="left"/>
    </xf>
    <xf numFmtId="3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5" xfId="0" applyNumberFormat="1" applyFont="1" applyFill="1" applyBorder="1" applyAlignment="1">
      <alignment horizontal="left"/>
    </xf>
    <xf numFmtId="49" fontId="3" fillId="0" borderId="30" xfId="0" applyNumberFormat="1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>
      <alignment horizontal="left" vertical="center"/>
    </xf>
    <xf numFmtId="49" fontId="7" fillId="0" borderId="32" xfId="0" applyNumberFormat="1" applyFont="1" applyFill="1" applyBorder="1" applyAlignment="1">
      <alignment horizontal="left" vertical="center"/>
    </xf>
    <xf numFmtId="49" fontId="0" fillId="0" borderId="55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33" xfId="0" applyFont="1" applyFill="1" applyBorder="1" applyAlignment="1">
      <alignment/>
    </xf>
    <xf numFmtId="3" fontId="2" fillId="0" borderId="39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10" fontId="2" fillId="0" borderId="40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10" fontId="4" fillId="0" borderId="40" xfId="0" applyNumberFormat="1" applyFont="1" applyFill="1" applyBorder="1" applyAlignment="1">
      <alignment vertical="center"/>
    </xf>
    <xf numFmtId="49" fontId="3" fillId="0" borderId="67" xfId="0" applyNumberFormat="1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24" fillId="0" borderId="0" xfId="0" applyFont="1" applyFill="1" applyAlignment="1">
      <alignment/>
    </xf>
    <xf numFmtId="3" fontId="123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3" fontId="15" fillId="0" borderId="24" xfId="102" applyNumberFormat="1" applyFont="1" applyFill="1" applyBorder="1" applyAlignment="1">
      <alignment vertical="center"/>
      <protection/>
    </xf>
    <xf numFmtId="0" fontId="58" fillId="0" borderId="35" xfId="101" applyFont="1" applyBorder="1" applyAlignment="1">
      <alignment wrapText="1"/>
      <protection/>
    </xf>
    <xf numFmtId="3" fontId="15" fillId="0" borderId="27" xfId="102" applyNumberFormat="1" applyFont="1" applyFill="1" applyBorder="1" applyAlignment="1">
      <alignment horizontal="right" vertical="center"/>
      <protection/>
    </xf>
    <xf numFmtId="0" fontId="14" fillId="0" borderId="29" xfId="0" applyFont="1" applyFill="1" applyBorder="1" applyAlignment="1">
      <alignment vertical="center" wrapText="1"/>
    </xf>
    <xf numFmtId="10" fontId="34" fillId="0" borderId="65" xfId="102" applyNumberFormat="1" applyFont="1" applyFill="1" applyBorder="1" applyAlignment="1">
      <alignment horizontal="right"/>
      <protection/>
    </xf>
    <xf numFmtId="0" fontId="46" fillId="0" borderId="49" xfId="0" applyFont="1" applyFill="1" applyBorder="1" applyAlignment="1" applyProtection="1">
      <alignment horizontal="center" vertical="center" wrapText="1"/>
      <protection/>
    </xf>
    <xf numFmtId="3" fontId="58" fillId="0" borderId="0" xfId="101" applyNumberFormat="1" applyFont="1" applyFill="1">
      <alignment/>
      <protection/>
    </xf>
    <xf numFmtId="3" fontId="1" fillId="0" borderId="0" xfId="101" applyNumberFormat="1" applyFill="1" applyAlignment="1" applyProtection="1">
      <alignment vertical="center"/>
      <protection/>
    </xf>
    <xf numFmtId="3" fontId="1" fillId="0" borderId="0" xfId="101" applyNumberFormat="1" applyFill="1" applyAlignment="1">
      <alignment vertical="center"/>
      <protection/>
    </xf>
    <xf numFmtId="3" fontId="82" fillId="0" borderId="26" xfId="101" applyNumberFormat="1" applyFont="1" applyFill="1" applyBorder="1" applyAlignment="1">
      <alignment vertical="center"/>
      <protection/>
    </xf>
    <xf numFmtId="3" fontId="63" fillId="0" borderId="0" xfId="102" applyNumberFormat="1" applyFont="1">
      <alignment/>
      <protection/>
    </xf>
    <xf numFmtId="3" fontId="6" fillId="0" borderId="0" xfId="0" applyNumberFormat="1" applyFont="1" applyAlignment="1">
      <alignment/>
    </xf>
    <xf numFmtId="0" fontId="12" fillId="0" borderId="0" xfId="102" applyFont="1" applyFill="1" applyBorder="1" applyAlignment="1">
      <alignment horizontal="center" vertical="center"/>
      <protection/>
    </xf>
    <xf numFmtId="0" fontId="11" fillId="0" borderId="0" xfId="102" applyFont="1" applyFill="1" applyAlignment="1">
      <alignment vertical="center"/>
      <protection/>
    </xf>
    <xf numFmtId="0" fontId="11" fillId="0" borderId="54" xfId="102" applyFont="1" applyFill="1" applyBorder="1" applyAlignment="1">
      <alignment vertical="center"/>
      <protection/>
    </xf>
    <xf numFmtId="3" fontId="12" fillId="0" borderId="0" xfId="102" applyNumberFormat="1" applyFont="1" applyFill="1" applyBorder="1" applyAlignment="1">
      <alignment horizontal="center" vertical="center"/>
      <protection/>
    </xf>
    <xf numFmtId="0" fontId="16" fillId="0" borderId="39" xfId="102" applyFont="1" applyFill="1" applyBorder="1" applyAlignment="1">
      <alignment horizontal="center" vertical="center"/>
      <protection/>
    </xf>
    <xf numFmtId="0" fontId="16" fillId="0" borderId="26" xfId="102" applyFont="1" applyFill="1" applyBorder="1" applyAlignment="1">
      <alignment horizontal="center" vertical="center"/>
      <protection/>
    </xf>
    <xf numFmtId="0" fontId="16" fillId="0" borderId="60" xfId="102" applyFont="1" applyFill="1" applyBorder="1" applyAlignment="1">
      <alignment horizontal="center" vertical="center"/>
      <protection/>
    </xf>
    <xf numFmtId="0" fontId="13" fillId="0" borderId="0" xfId="102" applyFont="1" applyFill="1" applyAlignment="1">
      <alignment vertical="center"/>
      <protection/>
    </xf>
    <xf numFmtId="0" fontId="16" fillId="0" borderId="41" xfId="102" applyFont="1" applyFill="1" applyBorder="1" applyAlignment="1">
      <alignment horizontal="center" vertical="center"/>
      <protection/>
    </xf>
    <xf numFmtId="0" fontId="16" fillId="0" borderId="93" xfId="102" applyFont="1" applyFill="1" applyBorder="1" applyAlignment="1">
      <alignment horizontal="center" vertical="center"/>
      <protection/>
    </xf>
    <xf numFmtId="3" fontId="16" fillId="0" borderId="47" xfId="102" applyNumberFormat="1" applyFont="1" applyFill="1" applyBorder="1" applyAlignment="1">
      <alignment horizontal="center" vertical="center"/>
      <protection/>
    </xf>
    <xf numFmtId="3" fontId="16" fillId="0" borderId="38" xfId="102" applyNumberFormat="1" applyFont="1" applyFill="1" applyBorder="1" applyAlignment="1">
      <alignment horizontal="center" vertical="center" wrapText="1"/>
      <protection/>
    </xf>
    <xf numFmtId="3" fontId="16" fillId="0" borderId="38" xfId="102" applyNumberFormat="1" applyFont="1" applyFill="1" applyBorder="1" applyAlignment="1">
      <alignment horizontal="center" vertical="center"/>
      <protection/>
    </xf>
    <xf numFmtId="3" fontId="16" fillId="0" borderId="56" xfId="102" applyNumberFormat="1" applyFont="1" applyFill="1" applyBorder="1" applyAlignment="1">
      <alignment horizontal="center" vertical="center"/>
      <protection/>
    </xf>
    <xf numFmtId="0" fontId="11" fillId="0" borderId="20" xfId="102" applyFont="1" applyFill="1" applyBorder="1" applyAlignment="1">
      <alignment horizontal="center" vertical="center"/>
      <protection/>
    </xf>
    <xf numFmtId="0" fontId="14" fillId="0" borderId="64" xfId="102" applyFont="1" applyFill="1" applyBorder="1" applyAlignment="1">
      <alignment horizontal="center" vertical="center"/>
      <protection/>
    </xf>
    <xf numFmtId="0" fontId="16" fillId="0" borderId="0" xfId="102" applyFont="1" applyFill="1" applyBorder="1" applyAlignment="1">
      <alignment horizontal="center" vertical="center"/>
      <protection/>
    </xf>
    <xf numFmtId="3" fontId="11" fillId="0" borderId="0" xfId="102" applyNumberFormat="1" applyFont="1" applyFill="1" applyAlignment="1">
      <alignment vertical="center"/>
      <protection/>
    </xf>
    <xf numFmtId="0" fontId="127" fillId="0" borderId="0" xfId="102" applyFont="1" applyFill="1" applyAlignment="1">
      <alignment vertical="center"/>
      <protection/>
    </xf>
    <xf numFmtId="0" fontId="11" fillId="0" borderId="0" xfId="102" applyFont="1" applyFill="1" applyAlignment="1">
      <alignment horizontal="center" vertical="center"/>
      <protection/>
    </xf>
    <xf numFmtId="0" fontId="16" fillId="0" borderId="47" xfId="102" applyFont="1" applyFill="1" applyBorder="1" applyAlignment="1">
      <alignment horizontal="center" vertical="center"/>
      <protection/>
    </xf>
    <xf numFmtId="0" fontId="16" fillId="0" borderId="38" xfId="102" applyFont="1" applyFill="1" applyBorder="1" applyAlignment="1">
      <alignment horizontal="center" vertical="center"/>
      <protection/>
    </xf>
    <xf numFmtId="0" fontId="16" fillId="0" borderId="67" xfId="102" applyFont="1" applyFill="1" applyBorder="1" applyAlignment="1">
      <alignment horizontal="center" vertical="center"/>
      <protection/>
    </xf>
    <xf numFmtId="0" fontId="11" fillId="0" borderId="19" xfId="102" applyFont="1" applyFill="1" applyBorder="1" applyAlignment="1">
      <alignment horizontal="center" vertical="center"/>
      <protection/>
    </xf>
    <xf numFmtId="3" fontId="15" fillId="0" borderId="42" xfId="102" applyNumberFormat="1" applyFont="1" applyFill="1" applyBorder="1" applyAlignment="1">
      <alignment vertical="center"/>
      <protection/>
    </xf>
    <xf numFmtId="0" fontId="11" fillId="0" borderId="25" xfId="102" applyFont="1" applyFill="1" applyBorder="1" applyAlignment="1">
      <alignment horizontal="center" vertical="center"/>
      <protection/>
    </xf>
    <xf numFmtId="0" fontId="127" fillId="0" borderId="0" xfId="102" applyFont="1" applyFill="1" applyAlignment="1">
      <alignment vertical="center"/>
      <protection/>
    </xf>
    <xf numFmtId="3" fontId="83" fillId="0" borderId="22" xfId="101" applyNumberFormat="1" applyFont="1" applyFill="1" applyBorder="1">
      <alignment/>
      <protection/>
    </xf>
    <xf numFmtId="0" fontId="15" fillId="0" borderId="20" xfId="102" applyFont="1" applyFill="1" applyBorder="1" applyAlignment="1">
      <alignment horizontal="left" wrapText="1"/>
      <protection/>
    </xf>
    <xf numFmtId="0" fontId="11" fillId="0" borderId="28" xfId="102" applyFont="1" applyBorder="1" applyAlignment="1">
      <alignment horizontal="center" vertical="center"/>
      <protection/>
    </xf>
    <xf numFmtId="3" fontId="68" fillId="0" borderId="28" xfId="103" applyNumberFormat="1" applyFont="1" applyFill="1" applyBorder="1">
      <alignment/>
      <protection/>
    </xf>
    <xf numFmtId="3" fontId="68" fillId="0" borderId="27" xfId="103" applyNumberFormat="1" applyFont="1" applyFill="1" applyBorder="1">
      <alignment/>
      <protection/>
    </xf>
    <xf numFmtId="10" fontId="68" fillId="0" borderId="58" xfId="103" applyNumberFormat="1" applyFont="1" applyFill="1" applyBorder="1" applyAlignment="1">
      <alignment vertical="top"/>
      <protection/>
    </xf>
    <xf numFmtId="3" fontId="68" fillId="0" borderId="58" xfId="103" applyNumberFormat="1" applyFont="1" applyFill="1" applyBorder="1">
      <alignment/>
      <protection/>
    </xf>
    <xf numFmtId="0" fontId="11" fillId="0" borderId="0" xfId="102" applyFont="1" applyFill="1" applyAlignment="1">
      <alignment wrapText="1"/>
      <protection/>
    </xf>
    <xf numFmtId="0" fontId="34" fillId="0" borderId="0" xfId="102" applyFont="1" applyFill="1">
      <alignment/>
      <protection/>
    </xf>
    <xf numFmtId="3" fontId="34" fillId="0" borderId="0" xfId="102" applyNumberFormat="1" applyFont="1" applyFill="1">
      <alignment/>
      <protection/>
    </xf>
    <xf numFmtId="0" fontId="18" fillId="0" borderId="0" xfId="102" applyFont="1" applyFill="1" applyAlignment="1">
      <alignment wrapText="1"/>
      <protection/>
    </xf>
    <xf numFmtId="3" fontId="11" fillId="0" borderId="0" xfId="102" applyNumberFormat="1" applyFont="1" applyFill="1">
      <alignment/>
      <protection/>
    </xf>
    <xf numFmtId="3" fontId="15" fillId="0" borderId="0" xfId="102" applyNumberFormat="1" applyFont="1" applyFill="1">
      <alignment/>
      <protection/>
    </xf>
    <xf numFmtId="0" fontId="12" fillId="0" borderId="25" xfId="102" applyFont="1" applyFill="1" applyBorder="1" applyAlignment="1">
      <alignment horizontal="center" vertical="center" wrapText="1"/>
      <protection/>
    </xf>
    <xf numFmtId="0" fontId="12" fillId="0" borderId="20" xfId="102" applyFont="1" applyFill="1" applyBorder="1" applyAlignment="1">
      <alignment horizontal="center" vertical="center"/>
      <protection/>
    </xf>
    <xf numFmtId="0" fontId="12" fillId="0" borderId="23" xfId="102" applyFont="1" applyFill="1" applyBorder="1" applyAlignment="1">
      <alignment horizontal="center" vertical="center"/>
      <protection/>
    </xf>
    <xf numFmtId="0" fontId="12" fillId="0" borderId="45" xfId="102" applyFont="1" applyFill="1" applyBorder="1" applyAlignment="1">
      <alignment horizontal="center" vertical="center"/>
      <protection/>
    </xf>
    <xf numFmtId="0" fontId="12" fillId="0" borderId="45" xfId="102" applyFont="1" applyFill="1" applyBorder="1" applyAlignment="1">
      <alignment horizontal="center" vertical="center" wrapText="1"/>
      <protection/>
    </xf>
    <xf numFmtId="0" fontId="12" fillId="0" borderId="76" xfId="102" applyFont="1" applyFill="1" applyBorder="1" applyAlignment="1">
      <alignment horizontal="center" vertical="center" wrapText="1"/>
      <protection/>
    </xf>
    <xf numFmtId="0" fontId="12" fillId="0" borderId="76" xfId="102" applyFont="1" applyFill="1" applyBorder="1" applyAlignment="1">
      <alignment horizontal="center" vertical="center"/>
      <protection/>
    </xf>
    <xf numFmtId="0" fontId="12" fillId="0" borderId="34" xfId="102" applyFont="1" applyFill="1" applyBorder="1" applyAlignment="1">
      <alignment horizontal="center" vertical="center"/>
      <protection/>
    </xf>
    <xf numFmtId="0" fontId="12" fillId="0" borderId="21" xfId="102" applyFont="1" applyFill="1" applyBorder="1" applyAlignment="1">
      <alignment wrapText="1"/>
      <protection/>
    </xf>
    <xf numFmtId="3" fontId="18" fillId="0" borderId="24" xfId="102" applyNumberFormat="1" applyFont="1" applyFill="1" applyBorder="1" applyAlignment="1">
      <alignment horizontal="right"/>
      <protection/>
    </xf>
    <xf numFmtId="3" fontId="18" fillId="0" borderId="92" xfId="102" applyNumberFormat="1" applyFont="1" applyFill="1" applyBorder="1" applyAlignment="1">
      <alignment horizontal="right"/>
      <protection/>
    </xf>
    <xf numFmtId="3" fontId="18" fillId="0" borderId="91" xfId="102" applyNumberFormat="1" applyFont="1" applyFill="1" applyBorder="1" applyAlignment="1">
      <alignment horizontal="right"/>
      <protection/>
    </xf>
    <xf numFmtId="3" fontId="18" fillId="0" borderId="48" xfId="102" applyNumberFormat="1" applyFont="1" applyFill="1" applyBorder="1" applyAlignment="1">
      <alignment horizontal="right"/>
      <protection/>
    </xf>
    <xf numFmtId="3" fontId="58" fillId="0" borderId="0" xfId="101" applyNumberFormat="1" applyFont="1" applyFill="1" applyAlignment="1">
      <alignment vertical="center"/>
      <protection/>
    </xf>
    <xf numFmtId="3" fontId="16" fillId="0" borderId="37" xfId="102" applyNumberFormat="1" applyFont="1" applyFill="1" applyBorder="1" applyAlignment="1">
      <alignment horizontal="center" vertical="center"/>
      <protection/>
    </xf>
    <xf numFmtId="3" fontId="16" fillId="0" borderId="67" xfId="102" applyNumberFormat="1" applyFont="1" applyFill="1" applyBorder="1" applyAlignment="1">
      <alignment horizontal="center" vertical="center"/>
      <protection/>
    </xf>
    <xf numFmtId="0" fontId="12" fillId="0" borderId="21" xfId="102" applyFont="1" applyFill="1" applyBorder="1" applyAlignment="1">
      <alignment vertical="center" wrapText="1"/>
      <protection/>
    </xf>
    <xf numFmtId="3" fontId="18" fillId="0" borderId="24" xfId="68" applyNumberFormat="1" applyFont="1" applyFill="1" applyBorder="1" applyAlignment="1">
      <alignment horizontal="right" vertical="center"/>
    </xf>
    <xf numFmtId="10" fontId="18" fillId="0" borderId="48" xfId="102" applyNumberFormat="1" applyFont="1" applyFill="1" applyBorder="1" applyAlignment="1">
      <alignment horizontal="right"/>
      <protection/>
    </xf>
    <xf numFmtId="3" fontId="18" fillId="0" borderId="91" xfId="68" applyNumberFormat="1" applyFont="1" applyFill="1" applyBorder="1" applyAlignment="1">
      <alignment horizontal="right" vertical="center"/>
    </xf>
    <xf numFmtId="0" fontId="15" fillId="0" borderId="0" xfId="102" applyFont="1" applyFill="1" applyAlignment="1">
      <alignment wrapText="1"/>
      <protection/>
    </xf>
    <xf numFmtId="0" fontId="15" fillId="0" borderId="0" xfId="102" applyFont="1" applyFill="1">
      <alignment/>
      <protection/>
    </xf>
    <xf numFmtId="169" fontId="46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102" applyFont="1" applyFill="1" applyAlignment="1">
      <alignment horizontal="left" wrapText="1"/>
      <protection/>
    </xf>
    <xf numFmtId="0" fontId="18" fillId="0" borderId="0" xfId="102" applyFont="1" applyFill="1" applyBorder="1" applyAlignment="1">
      <alignment horizontal="center"/>
      <protection/>
    </xf>
    <xf numFmtId="0" fontId="18" fillId="0" borderId="0" xfId="102" applyFont="1" applyFill="1" applyBorder="1" applyAlignment="1">
      <alignment horizontal="center" wrapText="1"/>
      <protection/>
    </xf>
    <xf numFmtId="0" fontId="12" fillId="0" borderId="0" xfId="102" applyFont="1" applyFill="1" applyBorder="1" applyAlignment="1">
      <alignment horizontal="center"/>
      <protection/>
    </xf>
    <xf numFmtId="0" fontId="11" fillId="0" borderId="54" xfId="102" applyFont="1" applyFill="1" applyBorder="1">
      <alignment/>
      <protection/>
    </xf>
    <xf numFmtId="0" fontId="11" fillId="0" borderId="0" xfId="102" applyFont="1" applyFill="1" applyBorder="1" applyAlignment="1">
      <alignment horizontal="left" wrapText="1"/>
      <protection/>
    </xf>
    <xf numFmtId="0" fontId="6" fillId="0" borderId="26" xfId="102" applyFont="1" applyFill="1" applyBorder="1" applyAlignment="1">
      <alignment horizontal="center" vertical="center" wrapText="1"/>
      <protection/>
    </xf>
    <xf numFmtId="178" fontId="0" fillId="0" borderId="0" xfId="0" applyNumberFormat="1" applyFont="1" applyFill="1" applyAlignment="1">
      <alignment/>
    </xf>
    <xf numFmtId="0" fontId="6" fillId="0" borderId="26" xfId="102" applyFont="1" applyFill="1" applyBorder="1" applyAlignment="1">
      <alignment vertical="center" wrapText="1"/>
      <protection/>
    </xf>
    <xf numFmtId="3" fontId="3" fillId="0" borderId="39" xfId="102" applyNumberFormat="1" applyFont="1" applyFill="1" applyBorder="1" applyAlignment="1">
      <alignment vertical="center"/>
      <protection/>
    </xf>
    <xf numFmtId="3" fontId="13" fillId="0" borderId="0" xfId="102" applyNumberFormat="1" applyFont="1" applyFill="1" applyAlignment="1">
      <alignment vertical="center"/>
      <protection/>
    </xf>
    <xf numFmtId="0" fontId="13" fillId="0" borderId="0" xfId="102" applyFont="1" applyFill="1" applyAlignment="1">
      <alignment vertical="center"/>
      <protection/>
    </xf>
    <xf numFmtId="0" fontId="0" fillId="0" borderId="21" xfId="102" applyFont="1" applyFill="1" applyBorder="1" applyAlignment="1">
      <alignment horizontal="center" vertical="center"/>
      <protection/>
    </xf>
    <xf numFmtId="0" fontId="16" fillId="0" borderId="42" xfId="102" applyFont="1" applyFill="1" applyBorder="1" applyAlignment="1">
      <alignment horizontal="center" vertical="center"/>
      <protection/>
    </xf>
    <xf numFmtId="0" fontId="19" fillId="0" borderId="22" xfId="0" applyFont="1" applyFill="1" applyBorder="1" applyAlignment="1">
      <alignment/>
    </xf>
    <xf numFmtId="3" fontId="15" fillId="0" borderId="27" xfId="102" applyNumberFormat="1" applyFont="1" applyBorder="1" applyAlignment="1">
      <alignment horizontal="right" vertical="center"/>
      <protection/>
    </xf>
    <xf numFmtId="0" fontId="30" fillId="0" borderId="22" xfId="102" applyFont="1" applyBorder="1" applyAlignment="1">
      <alignment vertical="center" wrapText="1"/>
      <protection/>
    </xf>
    <xf numFmtId="0" fontId="30" fillId="0" borderId="29" xfId="102" applyFont="1" applyBorder="1" applyAlignment="1">
      <alignment vertical="center" wrapText="1"/>
      <protection/>
    </xf>
    <xf numFmtId="3" fontId="15" fillId="0" borderId="20" xfId="102" applyNumberFormat="1" applyFont="1" applyBorder="1" applyAlignment="1">
      <alignment horizontal="right" vertical="center"/>
      <protection/>
    </xf>
    <xf numFmtId="3" fontId="15" fillId="0" borderId="20" xfId="0" applyNumberFormat="1" applyFont="1" applyBorder="1" applyAlignment="1">
      <alignment vertical="center"/>
    </xf>
    <xf numFmtId="169" fontId="52" fillId="0" borderId="0" xfId="97" applyNumberFormat="1" applyAlignment="1">
      <alignment vertical="center" wrapText="1"/>
      <protection/>
    </xf>
    <xf numFmtId="169" fontId="52" fillId="0" borderId="0" xfId="97" applyNumberFormat="1" applyAlignment="1">
      <alignment horizontal="center" vertical="center" wrapText="1"/>
      <protection/>
    </xf>
    <xf numFmtId="169" fontId="29" fillId="0" borderId="0" xfId="97" applyNumberFormat="1" applyFont="1" applyAlignment="1">
      <alignment horizontal="right"/>
      <protection/>
    </xf>
    <xf numFmtId="169" fontId="25" fillId="0" borderId="0" xfId="97" applyNumberFormat="1" applyFont="1" applyAlignment="1">
      <alignment vertical="center"/>
      <protection/>
    </xf>
    <xf numFmtId="169" fontId="42" fillId="0" borderId="74" xfId="97" applyNumberFormat="1" applyFont="1" applyBorder="1" applyAlignment="1">
      <alignment horizontal="center" vertical="center"/>
      <protection/>
    </xf>
    <xf numFmtId="169" fontId="42" fillId="0" borderId="48" xfId="97" applyNumberFormat="1" applyFont="1" applyBorder="1" applyAlignment="1">
      <alignment horizontal="center" vertical="center" wrapText="1"/>
      <protection/>
    </xf>
    <xf numFmtId="169" fontId="25" fillId="0" borderId="0" xfId="97" applyNumberFormat="1" applyFont="1" applyAlignment="1">
      <alignment horizontal="center" vertical="center"/>
      <protection/>
    </xf>
    <xf numFmtId="169" fontId="46" fillId="0" borderId="30" xfId="97" applyNumberFormat="1" applyFont="1" applyBorder="1" applyAlignment="1">
      <alignment horizontal="center" vertical="center" wrapText="1"/>
      <protection/>
    </xf>
    <xf numFmtId="169" fontId="46" fillId="0" borderId="75" xfId="97" applyNumberFormat="1" applyFont="1" applyBorder="1" applyAlignment="1">
      <alignment horizontal="center" vertical="center" wrapText="1"/>
      <protection/>
    </xf>
    <xf numFmtId="169" fontId="46" fillId="0" borderId="60" xfId="97" applyNumberFormat="1" applyFont="1" applyBorder="1" applyAlignment="1">
      <alignment horizontal="center" vertical="center" wrapText="1"/>
      <protection/>
    </xf>
    <xf numFmtId="169" fontId="46" fillId="0" borderId="40" xfId="97" applyNumberFormat="1" applyFont="1" applyBorder="1" applyAlignment="1">
      <alignment horizontal="center" vertical="center" wrapText="1"/>
      <protection/>
    </xf>
    <xf numFmtId="169" fontId="46" fillId="0" borderId="77" xfId="97" applyNumberFormat="1" applyFont="1" applyBorder="1" applyAlignment="1">
      <alignment horizontal="center" vertical="center" wrapText="1"/>
      <protection/>
    </xf>
    <xf numFmtId="169" fontId="25" fillId="0" borderId="0" xfId="97" applyNumberFormat="1" applyFont="1" applyAlignment="1">
      <alignment horizontal="center" vertical="center" wrapText="1"/>
      <protection/>
    </xf>
    <xf numFmtId="169" fontId="46" fillId="0" borderId="75" xfId="97" applyNumberFormat="1" applyFont="1" applyBorder="1" applyAlignment="1">
      <alignment horizontal="left" vertical="center" wrapText="1" indent="1"/>
      <protection/>
    </xf>
    <xf numFmtId="49" fontId="100" fillId="0" borderId="26" xfId="97" applyNumberFormat="1" applyFont="1" applyBorder="1" applyAlignment="1" applyProtection="1">
      <alignment horizontal="center" vertical="center" wrapText="1"/>
      <protection locked="0"/>
    </xf>
    <xf numFmtId="169" fontId="100" fillId="0" borderId="75" xfId="97" applyNumberFormat="1" applyFont="1" applyBorder="1" applyAlignment="1">
      <alignment vertical="center" wrapText="1"/>
      <protection/>
    </xf>
    <xf numFmtId="169" fontId="100" fillId="0" borderId="39" xfId="97" applyNumberFormat="1" applyFont="1" applyBorder="1" applyAlignment="1">
      <alignment vertical="center" wrapText="1"/>
      <protection/>
    </xf>
    <xf numFmtId="169" fontId="100" fillId="0" borderId="26" xfId="97" applyNumberFormat="1" applyFont="1" applyBorder="1" applyAlignment="1">
      <alignment vertical="center" wrapText="1"/>
      <protection/>
    </xf>
    <xf numFmtId="169" fontId="100" fillId="0" borderId="40" xfId="97" applyNumberFormat="1" applyFont="1" applyBorder="1" applyAlignment="1">
      <alignment vertical="center" wrapText="1"/>
      <protection/>
    </xf>
    <xf numFmtId="169" fontId="38" fillId="0" borderId="75" xfId="97" applyNumberFormat="1" applyFont="1" applyBorder="1" applyAlignment="1">
      <alignment vertical="center" wrapText="1"/>
      <protection/>
    </xf>
    <xf numFmtId="169" fontId="38" fillId="0" borderId="76" xfId="97" applyNumberFormat="1" applyFont="1" applyBorder="1" applyAlignment="1" applyProtection="1">
      <alignment horizontal="left" vertical="center" wrapText="1" indent="1"/>
      <protection locked="0"/>
    </xf>
    <xf numFmtId="49" fontId="100" fillId="0" borderId="22" xfId="97" applyNumberFormat="1" applyFont="1" applyBorder="1" applyAlignment="1" applyProtection="1">
      <alignment horizontal="center" vertical="center" wrapText="1"/>
      <protection locked="0"/>
    </xf>
    <xf numFmtId="169" fontId="100" fillId="0" borderId="76" xfId="97" applyNumberFormat="1" applyFont="1" applyBorder="1" applyAlignment="1" applyProtection="1">
      <alignment vertical="center" wrapText="1"/>
      <protection locked="0"/>
    </xf>
    <xf numFmtId="169" fontId="100" fillId="0" borderId="20" xfId="97" applyNumberFormat="1" applyFont="1" applyBorder="1" applyAlignment="1" applyProtection="1">
      <alignment vertical="center" wrapText="1"/>
      <protection locked="0"/>
    </xf>
    <xf numFmtId="169" fontId="100" fillId="0" borderId="22" xfId="97" applyNumberFormat="1" applyFont="1" applyBorder="1" applyAlignment="1" applyProtection="1">
      <alignment vertical="center" wrapText="1"/>
      <protection locked="0"/>
    </xf>
    <xf numFmtId="169" fontId="100" fillId="0" borderId="23" xfId="97" applyNumberFormat="1" applyFont="1" applyBorder="1" applyAlignment="1" applyProtection="1">
      <alignment vertical="center" wrapText="1"/>
      <protection locked="0"/>
    </xf>
    <xf numFmtId="169" fontId="38" fillId="0" borderId="76" xfId="97" applyNumberFormat="1" applyFont="1" applyBorder="1" applyAlignment="1">
      <alignment vertical="center" wrapText="1"/>
      <protection/>
    </xf>
    <xf numFmtId="169" fontId="38" fillId="0" borderId="96" xfId="97" applyNumberFormat="1" applyFont="1" applyBorder="1" applyAlignment="1">
      <alignment horizontal="left" vertical="center" wrapText="1" indent="1"/>
      <protection/>
    </xf>
    <xf numFmtId="49" fontId="100" fillId="0" borderId="19" xfId="97" applyNumberFormat="1" applyFont="1" applyBorder="1" applyAlignment="1" applyProtection="1">
      <alignment horizontal="center" vertical="center" wrapText="1"/>
      <protection locked="0"/>
    </xf>
    <xf numFmtId="169" fontId="100" fillId="0" borderId="96" xfId="97" applyNumberFormat="1" applyFont="1" applyBorder="1" applyAlignment="1">
      <alignment vertical="center" wrapText="1"/>
      <protection/>
    </xf>
    <xf numFmtId="169" fontId="100" fillId="0" borderId="42" xfId="97" applyNumberFormat="1" applyFont="1" applyBorder="1" applyAlignment="1">
      <alignment vertical="center" wrapText="1"/>
      <protection/>
    </xf>
    <xf numFmtId="169" fontId="100" fillId="0" borderId="43" xfId="97" applyNumberFormat="1" applyFont="1" applyBorder="1" applyAlignment="1">
      <alignment vertical="center" wrapText="1"/>
      <protection/>
    </xf>
    <xf numFmtId="169" fontId="38" fillId="0" borderId="96" xfId="97" applyNumberFormat="1" applyFont="1" applyBorder="1" applyAlignment="1">
      <alignment vertical="center" wrapText="1"/>
      <protection/>
    </xf>
    <xf numFmtId="169" fontId="38" fillId="0" borderId="76" xfId="97" applyNumberFormat="1" applyFont="1" applyBorder="1" applyAlignment="1">
      <alignment horizontal="left" vertical="center" wrapText="1" indent="1"/>
      <protection/>
    </xf>
    <xf numFmtId="49" fontId="100" fillId="0" borderId="20" xfId="97" applyNumberFormat="1" applyFont="1" applyBorder="1" applyAlignment="1" applyProtection="1">
      <alignment horizontal="center" vertical="center" wrapText="1"/>
      <protection locked="0"/>
    </xf>
    <xf numFmtId="169" fontId="100" fillId="0" borderId="76" xfId="97" applyNumberFormat="1" applyFont="1" applyBorder="1" applyAlignment="1">
      <alignment vertical="center" wrapText="1"/>
      <protection/>
    </xf>
    <xf numFmtId="169" fontId="100" fillId="0" borderId="20" xfId="97" applyNumberFormat="1" applyFont="1" applyBorder="1" applyAlignment="1">
      <alignment vertical="center" wrapText="1"/>
      <protection/>
    </xf>
    <xf numFmtId="169" fontId="100" fillId="0" borderId="22" xfId="97" applyNumberFormat="1" applyFont="1" applyBorder="1" applyAlignment="1">
      <alignment vertical="center" wrapText="1"/>
      <protection/>
    </xf>
    <xf numFmtId="169" fontId="100" fillId="0" borderId="23" xfId="97" applyNumberFormat="1" applyFont="1" applyBorder="1" applyAlignment="1">
      <alignment vertical="center" wrapText="1"/>
      <protection/>
    </xf>
    <xf numFmtId="169" fontId="100" fillId="0" borderId="24" xfId="97" applyNumberFormat="1" applyFont="1" applyBorder="1" applyAlignment="1">
      <alignment vertical="center" wrapText="1"/>
      <protection/>
    </xf>
    <xf numFmtId="169" fontId="100" fillId="0" borderId="48" xfId="97" applyNumberFormat="1" applyFont="1" applyBorder="1" applyAlignment="1">
      <alignment vertical="center" wrapText="1"/>
      <protection/>
    </xf>
    <xf numFmtId="169" fontId="38" fillId="0" borderId="97" xfId="97" applyNumberFormat="1" applyFont="1" applyBorder="1" applyAlignment="1">
      <alignment vertical="center" wrapText="1"/>
      <protection/>
    </xf>
    <xf numFmtId="169" fontId="100" fillId="0" borderId="19" xfId="97" applyNumberFormat="1" applyFont="1" applyBorder="1" applyAlignment="1" applyProtection="1">
      <alignment vertical="center" wrapText="1"/>
      <protection locked="0"/>
    </xf>
    <xf numFmtId="169" fontId="100" fillId="0" borderId="42" xfId="97" applyNumberFormat="1" applyFont="1" applyBorder="1" applyAlignment="1" applyProtection="1">
      <alignment vertical="center" wrapText="1"/>
      <protection locked="0"/>
    </xf>
    <xf numFmtId="169" fontId="100" fillId="0" borderId="43" xfId="97" applyNumberFormat="1" applyFont="1" applyBorder="1" applyAlignment="1" applyProtection="1">
      <alignment vertical="center" wrapText="1"/>
      <protection locked="0"/>
    </xf>
    <xf numFmtId="169" fontId="38" fillId="0" borderId="96" xfId="97" applyNumberFormat="1" applyFont="1" applyBorder="1" applyAlignment="1" applyProtection="1">
      <alignment horizontal="left" vertical="center" wrapText="1" indent="1"/>
      <protection locked="0"/>
    </xf>
    <xf numFmtId="169" fontId="100" fillId="0" borderId="96" xfId="97" applyNumberFormat="1" applyFont="1" applyBorder="1" applyAlignment="1" applyProtection="1">
      <alignment vertical="center" wrapText="1"/>
      <protection locked="0"/>
    </xf>
    <xf numFmtId="169" fontId="38" fillId="0" borderId="77" xfId="97" applyNumberFormat="1" applyFont="1" applyBorder="1" applyAlignment="1">
      <alignment horizontal="left" vertical="center" wrapText="1" indent="1"/>
      <protection/>
    </xf>
    <xf numFmtId="169" fontId="100" fillId="0" borderId="19" xfId="97" applyNumberFormat="1" applyFont="1" applyBorder="1" applyAlignment="1">
      <alignment vertical="center" wrapText="1"/>
      <protection/>
    </xf>
    <xf numFmtId="49" fontId="100" fillId="0" borderId="61" xfId="97" applyNumberFormat="1" applyFont="1" applyBorder="1" applyAlignment="1" applyProtection="1">
      <alignment horizontal="center" vertical="center" wrapText="1"/>
      <protection locked="0"/>
    </xf>
    <xf numFmtId="169" fontId="100" fillId="0" borderId="97" xfId="97" applyNumberFormat="1" applyFont="1" applyBorder="1" applyAlignment="1" applyProtection="1">
      <alignment vertical="center" wrapText="1"/>
      <protection locked="0"/>
    </xf>
    <xf numFmtId="169" fontId="100" fillId="0" borderId="21" xfId="97" applyNumberFormat="1" applyFont="1" applyBorder="1" applyAlignment="1" applyProtection="1">
      <alignment vertical="center" wrapText="1"/>
      <protection locked="0"/>
    </xf>
    <xf numFmtId="169" fontId="100" fillId="0" borderId="24" xfId="97" applyNumberFormat="1" applyFont="1" applyBorder="1" applyAlignment="1" applyProtection="1">
      <alignment vertical="center" wrapText="1"/>
      <protection locked="0"/>
    </xf>
    <xf numFmtId="169" fontId="100" fillId="0" borderId="48" xfId="97" applyNumberFormat="1" applyFont="1" applyBorder="1" applyAlignment="1" applyProtection="1">
      <alignment vertical="center" wrapText="1"/>
      <protection locked="0"/>
    </xf>
    <xf numFmtId="169" fontId="100" fillId="52" borderId="60" xfId="97" applyNumberFormat="1" applyFont="1" applyFill="1" applyBorder="1" applyAlignment="1">
      <alignment horizontal="left" vertical="center" wrapText="1" indent="2"/>
      <protection/>
    </xf>
    <xf numFmtId="3" fontId="11" fillId="0" borderId="25" xfId="102" applyNumberFormat="1" applyFont="1" applyFill="1" applyBorder="1" applyAlignment="1">
      <alignment vertical="center"/>
      <protection/>
    </xf>
    <xf numFmtId="0" fontId="19" fillId="0" borderId="0" xfId="0" applyFont="1" applyFill="1" applyAlignment="1">
      <alignment wrapText="1"/>
    </xf>
    <xf numFmtId="3" fontId="15" fillId="0" borderId="32" xfId="102" applyNumberFormat="1" applyFont="1" applyFill="1" applyBorder="1" applyAlignment="1">
      <alignment horizontal="right" vertical="center"/>
      <protection/>
    </xf>
    <xf numFmtId="3" fontId="15" fillId="0" borderId="32" xfId="102" applyNumberFormat="1" applyFont="1" applyFill="1" applyBorder="1" applyAlignment="1">
      <alignment horizontal="right" vertical="center"/>
      <protection/>
    </xf>
    <xf numFmtId="3" fontId="12" fillId="0" borderId="37" xfId="102" applyNumberFormat="1" applyFont="1" applyFill="1" applyBorder="1" applyAlignment="1">
      <alignment horizontal="right" vertical="center"/>
      <protection/>
    </xf>
    <xf numFmtId="3" fontId="15" fillId="53" borderId="53" xfId="0" applyNumberFormat="1" applyFont="1" applyFill="1" applyBorder="1" applyAlignment="1">
      <alignment horizontal="right" vertical="center"/>
    </xf>
    <xf numFmtId="3" fontId="15" fillId="0" borderId="32" xfId="0" applyNumberFormat="1" applyFont="1" applyFill="1" applyBorder="1" applyAlignment="1">
      <alignment horizontal="right" vertical="center"/>
    </xf>
    <xf numFmtId="3" fontId="15" fillId="0" borderId="42" xfId="0" applyNumberFormat="1" applyFont="1" applyFill="1" applyBorder="1" applyAlignment="1">
      <alignment horizontal="right" vertical="center"/>
    </xf>
    <xf numFmtId="3" fontId="15" fillId="0" borderId="45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>
      <alignment horizontal="right" vertical="center"/>
    </xf>
    <xf numFmtId="3" fontId="15" fillId="51" borderId="22" xfId="0" applyNumberFormat="1" applyFont="1" applyFill="1" applyBorder="1" applyAlignment="1">
      <alignment horizontal="right" vertical="center"/>
    </xf>
    <xf numFmtId="3" fontId="15" fillId="44" borderId="22" xfId="0" applyNumberFormat="1" applyFont="1" applyFill="1" applyBorder="1" applyAlignment="1">
      <alignment horizontal="right" vertical="center"/>
    </xf>
    <xf numFmtId="3" fontId="12" fillId="0" borderId="40" xfId="102" applyNumberFormat="1" applyFont="1" applyFill="1" applyBorder="1" applyAlignment="1">
      <alignment horizontal="right" vertical="center"/>
      <protection/>
    </xf>
    <xf numFmtId="3" fontId="15" fillId="0" borderId="22" xfId="0" applyNumberFormat="1" applyFont="1" applyBorder="1" applyAlignment="1">
      <alignment vertical="center"/>
    </xf>
    <xf numFmtId="3" fontId="15" fillId="0" borderId="22" xfId="102" applyNumberFormat="1" applyFont="1" applyBorder="1" applyAlignment="1">
      <alignment horizontal="right" vertical="center"/>
      <protection/>
    </xf>
    <xf numFmtId="3" fontId="15" fillId="0" borderId="23" xfId="102" applyNumberFormat="1" applyFont="1" applyFill="1" applyBorder="1" applyAlignment="1">
      <alignment horizontal="right" vertical="center"/>
      <protection/>
    </xf>
    <xf numFmtId="3" fontId="15" fillId="0" borderId="22" xfId="102" applyNumberFormat="1" applyFont="1" applyFill="1" applyBorder="1" applyAlignment="1">
      <alignment horizontal="right" vertical="center"/>
      <protection/>
    </xf>
    <xf numFmtId="3" fontId="15" fillId="0" borderId="23" xfId="102" applyNumberFormat="1" applyFont="1" applyFill="1" applyBorder="1" applyAlignment="1">
      <alignment horizontal="right" vertical="center"/>
      <protection/>
    </xf>
    <xf numFmtId="3" fontId="15" fillId="0" borderId="28" xfId="102" applyNumberFormat="1" applyFont="1" applyBorder="1" applyAlignment="1">
      <alignment horizontal="right" vertical="center"/>
      <protection/>
    </xf>
    <xf numFmtId="10" fontId="58" fillId="0" borderId="51" xfId="101" applyNumberFormat="1" applyFont="1" applyBorder="1" applyAlignment="1">
      <alignment horizontal="center"/>
      <protection/>
    </xf>
    <xf numFmtId="0" fontId="58" fillId="0" borderId="55" xfId="101" applyFont="1" applyBorder="1">
      <alignment/>
      <protection/>
    </xf>
    <xf numFmtId="3" fontId="58" fillId="0" borderId="52" xfId="101" applyNumberFormat="1" applyFont="1" applyBorder="1" applyAlignment="1">
      <alignment horizontal="right"/>
      <protection/>
    </xf>
    <xf numFmtId="3" fontId="58" fillId="0" borderId="52" xfId="101" applyNumberFormat="1" applyFont="1" applyFill="1" applyBorder="1">
      <alignment/>
      <protection/>
    </xf>
    <xf numFmtId="10" fontId="58" fillId="0" borderId="52" xfId="101" applyNumberFormat="1" applyFont="1" applyFill="1" applyBorder="1">
      <alignment/>
      <protection/>
    </xf>
    <xf numFmtId="0" fontId="58" fillId="0" borderId="25" xfId="101" applyFont="1" applyFill="1" applyBorder="1">
      <alignment/>
      <protection/>
    </xf>
    <xf numFmtId="0" fontId="58" fillId="0" borderId="19" xfId="101" applyFont="1" applyBorder="1" applyAlignment="1">
      <alignment wrapText="1"/>
      <protection/>
    </xf>
    <xf numFmtId="3" fontId="34" fillId="51" borderId="22" xfId="102" applyNumberFormat="1" applyFont="1" applyFill="1" applyBorder="1" applyAlignment="1">
      <alignment horizontal="right"/>
      <protection/>
    </xf>
    <xf numFmtId="3" fontId="128" fillId="0" borderId="23" xfId="102" applyNumberFormat="1" applyFont="1" applyFill="1" applyBorder="1" applyAlignment="1">
      <alignment horizontal="right" vertical="center"/>
      <protection/>
    </xf>
    <xf numFmtId="3" fontId="128" fillId="51" borderId="22" xfId="0" applyNumberFormat="1" applyFont="1" applyFill="1" applyBorder="1" applyAlignment="1">
      <alignment horizontal="right" vertical="center"/>
    </xf>
    <xf numFmtId="3" fontId="128" fillId="44" borderId="22" xfId="0" applyNumberFormat="1" applyFont="1" applyFill="1" applyBorder="1" applyAlignment="1">
      <alignment horizontal="right" vertical="center"/>
    </xf>
    <xf numFmtId="0" fontId="12" fillId="1" borderId="22" xfId="102" applyFont="1" applyFill="1" applyBorder="1" applyAlignment="1">
      <alignment horizontal="center" vertical="center"/>
      <protection/>
    </xf>
    <xf numFmtId="169" fontId="38" fillId="0" borderId="97" xfId="97" applyNumberFormat="1" applyFont="1" applyBorder="1" applyAlignment="1">
      <alignment horizontal="left" vertical="center" wrapText="1" indent="1"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8" fillId="0" borderId="0" xfId="102" applyFont="1" applyAlignment="1">
      <alignment horizontal="right" vertical="center"/>
      <protection/>
    </xf>
    <xf numFmtId="3" fontId="79" fillId="0" borderId="0" xfId="0" applyNumberFormat="1" applyFont="1" applyFill="1" applyAlignment="1">
      <alignment horizontal="right"/>
    </xf>
    <xf numFmtId="3" fontId="80" fillId="0" borderId="0" xfId="0" applyNumberFormat="1" applyFont="1" applyBorder="1" applyAlignment="1">
      <alignment horizontal="right" vertical="center"/>
    </xf>
    <xf numFmtId="0" fontId="17" fillId="0" borderId="0" xfId="102" applyFont="1" applyFill="1" applyAlignment="1">
      <alignment horizontal="right"/>
      <protection/>
    </xf>
    <xf numFmtId="3" fontId="77" fillId="0" borderId="0" xfId="102" applyNumberFormat="1" applyFont="1" applyAlignment="1">
      <alignment horizontal="right"/>
      <protection/>
    </xf>
    <xf numFmtId="3" fontId="77" fillId="0" borderId="0" xfId="102" applyNumberFormat="1" applyFont="1" applyAlignment="1">
      <alignment horizontal="right" vertical="center"/>
      <protection/>
    </xf>
    <xf numFmtId="0" fontId="81" fillId="0" borderId="0" xfId="102" applyFont="1" applyAlignment="1">
      <alignment horizontal="right"/>
      <protection/>
    </xf>
    <xf numFmtId="0" fontId="36" fillId="0" borderId="0" xfId="104" applyFont="1" applyFill="1" applyAlignment="1">
      <alignment horizontal="right" vertical="center"/>
      <protection/>
    </xf>
    <xf numFmtId="3" fontId="75" fillId="0" borderId="0" xfId="105" applyNumberFormat="1" applyFont="1" applyFill="1" applyAlignment="1" applyProtection="1">
      <alignment horizontal="right"/>
      <protection locked="0"/>
    </xf>
    <xf numFmtId="0" fontId="76" fillId="0" borderId="0" xfId="101" applyFont="1" applyFill="1" applyAlignment="1">
      <alignment horizontal="right" vertical="center"/>
      <protection/>
    </xf>
    <xf numFmtId="3" fontId="3" fillId="0" borderId="49" xfId="0" applyNumberFormat="1" applyFont="1" applyFill="1" applyBorder="1" applyAlignment="1">
      <alignment horizontal="right" vertical="center"/>
    </xf>
    <xf numFmtId="3" fontId="3" fillId="0" borderId="49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7" fillId="49" borderId="57" xfId="0" applyNumberFormat="1" applyFont="1" applyFill="1" applyBorder="1" applyAlignment="1">
      <alignment horizontal="right" vertical="center" wrapText="1"/>
    </xf>
    <xf numFmtId="3" fontId="7" fillId="49" borderId="43" xfId="0" applyNumberFormat="1" applyFont="1" applyFill="1" applyBorder="1" applyAlignment="1">
      <alignment horizontal="right" vertical="center" wrapText="1"/>
    </xf>
    <xf numFmtId="3" fontId="3" fillId="0" borderId="57" xfId="0" applyNumberFormat="1" applyFont="1" applyFill="1" applyBorder="1" applyAlignment="1">
      <alignment vertical="center"/>
    </xf>
    <xf numFmtId="0" fontId="0" fillId="0" borderId="59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9" xfId="0" applyFont="1" applyBorder="1" applyAlignment="1">
      <alignment/>
    </xf>
    <xf numFmtId="3" fontId="3" fillId="0" borderId="49" xfId="0" applyNumberFormat="1" applyFont="1" applyFill="1" applyBorder="1" applyAlignment="1">
      <alignment horizontal="center" vertical="center" wrapText="1"/>
    </xf>
    <xf numFmtId="3" fontId="7" fillId="0" borderId="98" xfId="0" applyNumberFormat="1" applyFont="1" applyFill="1" applyBorder="1" applyAlignment="1">
      <alignment vertical="center"/>
    </xf>
    <xf numFmtId="3" fontId="32" fillId="0" borderId="49" xfId="0" applyNumberFormat="1" applyFont="1" applyFill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88" xfId="0" applyNumberFormat="1" applyFont="1" applyBorder="1" applyAlignment="1">
      <alignment vertical="center"/>
    </xf>
    <xf numFmtId="3" fontId="3" fillId="0" borderId="6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58" xfId="0" applyNumberFormat="1" applyFont="1" applyBorder="1" applyAlignment="1">
      <alignment vertical="center"/>
    </xf>
    <xf numFmtId="0" fontId="13" fillId="0" borderId="49" xfId="102" applyFont="1" applyBorder="1" applyAlignment="1">
      <alignment horizontal="center" vertical="center"/>
      <protection/>
    </xf>
    <xf numFmtId="3" fontId="11" fillId="0" borderId="98" xfId="102" applyNumberFormat="1" applyBorder="1" applyAlignment="1">
      <alignment vertical="center"/>
      <protection/>
    </xf>
    <xf numFmtId="3" fontId="11" fillId="0" borderId="88" xfId="102" applyNumberFormat="1" applyBorder="1" applyAlignment="1">
      <alignment vertical="center"/>
      <protection/>
    </xf>
    <xf numFmtId="3" fontId="11" fillId="0" borderId="29" xfId="102" applyNumberFormat="1" applyBorder="1" applyAlignment="1">
      <alignment vertical="center"/>
      <protection/>
    </xf>
    <xf numFmtId="3" fontId="11" fillId="0" borderId="91" xfId="102" applyNumberFormat="1" applyBorder="1" applyAlignment="1">
      <alignment vertical="center"/>
      <protection/>
    </xf>
    <xf numFmtId="3" fontId="11" fillId="0" borderId="90" xfId="102" applyNumberFormat="1" applyBorder="1" applyAlignment="1">
      <alignment vertical="center"/>
      <protection/>
    </xf>
    <xf numFmtId="3" fontId="13" fillId="0" borderId="98" xfId="102" applyNumberFormat="1" applyFont="1" applyFill="1" applyBorder="1" applyAlignment="1">
      <alignment vertical="center"/>
      <protection/>
    </xf>
    <xf numFmtId="3" fontId="11" fillId="0" borderId="34" xfId="102" applyNumberFormat="1" applyFont="1" applyBorder="1" applyAlignment="1">
      <alignment vertical="center"/>
      <protection/>
    </xf>
    <xf numFmtId="3" fontId="13" fillId="0" borderId="29" xfId="102" applyNumberFormat="1" applyFont="1" applyBorder="1" applyAlignment="1">
      <alignment vertical="center"/>
      <protection/>
    </xf>
    <xf numFmtId="3" fontId="13" fillId="0" borderId="49" xfId="102" applyNumberFormat="1" applyFont="1" applyBorder="1" applyAlignment="1">
      <alignment vertical="center"/>
      <protection/>
    </xf>
    <xf numFmtId="3" fontId="17" fillId="0" borderId="49" xfId="102" applyNumberFormat="1" applyFont="1" applyBorder="1" applyAlignment="1">
      <alignment vertical="center"/>
      <protection/>
    </xf>
    <xf numFmtId="3" fontId="11" fillId="0" borderId="89" xfId="102" applyNumberFormat="1" applyFill="1" applyBorder="1" applyAlignment="1">
      <alignment vertical="center"/>
      <protection/>
    </xf>
    <xf numFmtId="3" fontId="11" fillId="0" borderId="98" xfId="102" applyNumberFormat="1" applyFont="1" applyBorder="1" applyAlignment="1">
      <alignment vertical="center"/>
      <protection/>
    </xf>
    <xf numFmtId="3" fontId="17" fillId="0" borderId="29" xfId="102" applyNumberFormat="1" applyFont="1" applyBorder="1" applyAlignment="1">
      <alignment vertical="center"/>
      <protection/>
    </xf>
    <xf numFmtId="3" fontId="17" fillId="0" borderId="90" xfId="102" applyNumberFormat="1" applyFont="1" applyBorder="1" applyAlignment="1">
      <alignment vertical="center"/>
      <protection/>
    </xf>
    <xf numFmtId="3" fontId="31" fillId="0" borderId="90" xfId="102" applyNumberFormat="1" applyFont="1" applyBorder="1" applyAlignment="1">
      <alignment vertical="center"/>
      <protection/>
    </xf>
    <xf numFmtId="3" fontId="11" fillId="0" borderId="89" xfId="102" applyNumberFormat="1" applyBorder="1" applyAlignment="1">
      <alignment vertical="center"/>
      <protection/>
    </xf>
    <xf numFmtId="3" fontId="11" fillId="0" borderId="88" xfId="102" applyNumberFormat="1" applyFill="1" applyBorder="1" applyAlignment="1">
      <alignment vertical="center"/>
      <protection/>
    </xf>
    <xf numFmtId="3" fontId="11" fillId="0" borderId="49" xfId="102" applyNumberFormat="1" applyBorder="1" applyAlignment="1">
      <alignment vertical="center"/>
      <protection/>
    </xf>
    <xf numFmtId="3" fontId="31" fillId="0" borderId="49" xfId="102" applyNumberFormat="1" applyFont="1" applyBorder="1" applyAlignment="1">
      <alignment vertical="center"/>
      <protection/>
    </xf>
    <xf numFmtId="3" fontId="11" fillId="0" borderId="45" xfId="102" applyNumberFormat="1" applyBorder="1" applyAlignment="1">
      <alignment vertical="center"/>
      <protection/>
    </xf>
    <xf numFmtId="3" fontId="11" fillId="0" borderId="57" xfId="102" applyNumberFormat="1" applyBorder="1" applyAlignment="1">
      <alignment vertical="center"/>
      <protection/>
    </xf>
    <xf numFmtId="3" fontId="11" fillId="0" borderId="22" xfId="102" applyNumberFormat="1" applyBorder="1" applyAlignment="1">
      <alignment vertical="center"/>
      <protection/>
    </xf>
    <xf numFmtId="3" fontId="11" fillId="0" borderId="23" xfId="102" applyNumberFormat="1" applyBorder="1" applyAlignment="1">
      <alignment vertical="center"/>
      <protection/>
    </xf>
    <xf numFmtId="3" fontId="11" fillId="0" borderId="27" xfId="102" applyNumberFormat="1" applyBorder="1" applyAlignment="1">
      <alignment vertical="center"/>
      <protection/>
    </xf>
    <xf numFmtId="3" fontId="11" fillId="0" borderId="58" xfId="102" applyNumberFormat="1" applyBorder="1" applyAlignment="1">
      <alignment vertical="center"/>
      <protection/>
    </xf>
    <xf numFmtId="3" fontId="11" fillId="0" borderId="24" xfId="102" applyNumberFormat="1" applyBorder="1" applyAlignment="1">
      <alignment vertical="center"/>
      <protection/>
    </xf>
    <xf numFmtId="3" fontId="11" fillId="0" borderId="48" xfId="102" applyNumberFormat="1" applyBorder="1" applyAlignment="1">
      <alignment vertical="center"/>
      <protection/>
    </xf>
    <xf numFmtId="3" fontId="11" fillId="0" borderId="51" xfId="102" applyNumberFormat="1" applyBorder="1" applyAlignment="1">
      <alignment vertical="center"/>
      <protection/>
    </xf>
    <xf numFmtId="3" fontId="11" fillId="0" borderId="46" xfId="102" applyNumberFormat="1" applyBorder="1" applyAlignment="1">
      <alignment vertical="center"/>
      <protection/>
    </xf>
    <xf numFmtId="3" fontId="13" fillId="0" borderId="45" xfId="102" applyNumberFormat="1" applyFont="1" applyFill="1" applyBorder="1" applyAlignment="1">
      <alignment vertical="center"/>
      <protection/>
    </xf>
    <xf numFmtId="3" fontId="13" fillId="0" borderId="57" xfId="102" applyNumberFormat="1" applyFont="1" applyFill="1" applyBorder="1" applyAlignment="1">
      <alignment vertical="center"/>
      <protection/>
    </xf>
    <xf numFmtId="3" fontId="11" fillId="0" borderId="45" xfId="102" applyNumberFormat="1" applyFont="1" applyBorder="1" applyAlignment="1">
      <alignment vertical="center"/>
      <protection/>
    </xf>
    <xf numFmtId="3" fontId="11" fillId="0" borderId="57" xfId="102" applyNumberFormat="1" applyFont="1" applyBorder="1" applyAlignment="1">
      <alignment vertical="center"/>
      <protection/>
    </xf>
    <xf numFmtId="3" fontId="13" fillId="0" borderId="27" xfId="102" applyNumberFormat="1" applyFont="1" applyBorder="1" applyAlignment="1">
      <alignment vertical="center"/>
      <protection/>
    </xf>
    <xf numFmtId="3" fontId="13" fillId="0" borderId="58" xfId="102" applyNumberFormat="1" applyFont="1" applyBorder="1" applyAlignment="1">
      <alignment vertical="center"/>
      <protection/>
    </xf>
    <xf numFmtId="3" fontId="13" fillId="0" borderId="26" xfId="102" applyNumberFormat="1" applyFont="1" applyBorder="1" applyAlignment="1">
      <alignment vertical="center"/>
      <protection/>
    </xf>
    <xf numFmtId="3" fontId="13" fillId="0" borderId="40" xfId="102" applyNumberFormat="1" applyFont="1" applyBorder="1" applyAlignment="1">
      <alignment vertical="center"/>
      <protection/>
    </xf>
    <xf numFmtId="3" fontId="17" fillId="0" borderId="26" xfId="102" applyNumberFormat="1" applyFont="1" applyBorder="1" applyAlignment="1">
      <alignment vertical="center"/>
      <protection/>
    </xf>
    <xf numFmtId="3" fontId="17" fillId="0" borderId="40" xfId="102" applyNumberFormat="1" applyFont="1" applyBorder="1" applyAlignment="1">
      <alignment vertical="center"/>
      <protection/>
    </xf>
    <xf numFmtId="3" fontId="11" fillId="0" borderId="42" xfId="102" applyNumberFormat="1" applyFill="1" applyBorder="1" applyAlignment="1">
      <alignment vertical="center"/>
      <protection/>
    </xf>
    <xf numFmtId="3" fontId="11" fillId="0" borderId="43" xfId="102" applyNumberFormat="1" applyFill="1" applyBorder="1" applyAlignment="1">
      <alignment vertical="center"/>
      <protection/>
    </xf>
    <xf numFmtId="3" fontId="11" fillId="0" borderId="45" xfId="102" applyNumberFormat="1" applyFont="1" applyFill="1" applyBorder="1" applyAlignment="1">
      <alignment vertical="center"/>
      <protection/>
    </xf>
    <xf numFmtId="3" fontId="11" fillId="0" borderId="57" xfId="102" applyNumberFormat="1" applyFont="1" applyFill="1" applyBorder="1" applyAlignment="1">
      <alignment vertical="center"/>
      <protection/>
    </xf>
    <xf numFmtId="3" fontId="17" fillId="0" borderId="27" xfId="102" applyNumberFormat="1" applyFont="1" applyBorder="1" applyAlignment="1">
      <alignment vertical="center"/>
      <protection/>
    </xf>
    <xf numFmtId="3" fontId="17" fillId="0" borderId="58" xfId="102" applyNumberFormat="1" applyFont="1" applyBorder="1" applyAlignment="1">
      <alignment vertical="center"/>
      <protection/>
    </xf>
    <xf numFmtId="3" fontId="17" fillId="0" borderId="51" xfId="102" applyNumberFormat="1" applyFont="1" applyBorder="1" applyAlignment="1">
      <alignment vertical="center"/>
      <protection/>
    </xf>
    <xf numFmtId="3" fontId="17" fillId="0" borderId="46" xfId="102" applyNumberFormat="1" applyFont="1" applyBorder="1" applyAlignment="1">
      <alignment vertical="center"/>
      <protection/>
    </xf>
    <xf numFmtId="3" fontId="31" fillId="0" borderId="51" xfId="102" applyNumberFormat="1" applyFont="1" applyBorder="1" applyAlignment="1">
      <alignment vertical="center"/>
      <protection/>
    </xf>
    <xf numFmtId="3" fontId="31" fillId="0" borderId="46" xfId="102" applyNumberFormat="1" applyFont="1" applyBorder="1" applyAlignment="1">
      <alignment vertical="center"/>
      <protection/>
    </xf>
    <xf numFmtId="3" fontId="11" fillId="0" borderId="42" xfId="102" applyNumberFormat="1" applyBorder="1" applyAlignment="1">
      <alignment vertical="center"/>
      <protection/>
    </xf>
    <xf numFmtId="3" fontId="11" fillId="0" borderId="43" xfId="102" applyNumberFormat="1" applyBorder="1" applyAlignment="1">
      <alignment vertical="center"/>
      <protection/>
    </xf>
    <xf numFmtId="3" fontId="11" fillId="0" borderId="22" xfId="102" applyNumberFormat="1" applyFill="1" applyBorder="1" applyAlignment="1">
      <alignment vertical="center"/>
      <protection/>
    </xf>
    <xf numFmtId="3" fontId="11" fillId="0" borderId="23" xfId="102" applyNumberFormat="1" applyFill="1" applyBorder="1" applyAlignment="1">
      <alignment vertical="center"/>
      <protection/>
    </xf>
    <xf numFmtId="3" fontId="11" fillId="0" borderId="26" xfId="102" applyNumberFormat="1" applyBorder="1" applyAlignment="1">
      <alignment vertical="center"/>
      <protection/>
    </xf>
    <xf numFmtId="3" fontId="11" fillId="0" borderId="40" xfId="102" applyNumberFormat="1" applyBorder="1" applyAlignment="1">
      <alignment vertical="center"/>
      <protection/>
    </xf>
    <xf numFmtId="3" fontId="31" fillId="0" borderId="26" xfId="102" applyNumberFormat="1" applyFont="1" applyBorder="1" applyAlignment="1">
      <alignment vertical="center"/>
      <protection/>
    </xf>
    <xf numFmtId="3" fontId="31" fillId="0" borderId="40" xfId="102" applyNumberFormat="1" applyFont="1" applyBorder="1" applyAlignment="1">
      <alignment vertical="center"/>
      <protection/>
    </xf>
    <xf numFmtId="0" fontId="3" fillId="0" borderId="50" xfId="0" applyFont="1" applyFill="1" applyBorder="1" applyAlignment="1">
      <alignment horizontal="centerContinuous" vertical="center" wrapText="1"/>
    </xf>
    <xf numFmtId="3" fontId="3" fillId="0" borderId="50" xfId="0" applyNumberFormat="1" applyFont="1" applyFill="1" applyBorder="1" applyAlignment="1">
      <alignment vertical="center"/>
    </xf>
    <xf numFmtId="3" fontId="7" fillId="0" borderId="70" xfId="0" applyNumberFormat="1" applyFont="1" applyBorder="1" applyAlignment="1">
      <alignment vertical="center"/>
    </xf>
    <xf numFmtId="3" fontId="7" fillId="0" borderId="70" xfId="0" applyNumberFormat="1" applyFont="1" applyFill="1" applyBorder="1" applyAlignment="1">
      <alignment vertical="center"/>
    </xf>
    <xf numFmtId="3" fontId="7" fillId="0" borderId="99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7" fillId="0" borderId="86" xfId="0" applyNumberFormat="1" applyFont="1" applyFill="1" applyBorder="1" applyAlignment="1">
      <alignment vertical="center"/>
    </xf>
    <xf numFmtId="3" fontId="7" fillId="0" borderId="87" xfId="0" applyNumberFormat="1" applyFont="1" applyBorder="1" applyAlignment="1">
      <alignment vertical="center"/>
    </xf>
    <xf numFmtId="3" fontId="7" fillId="0" borderId="99" xfId="0" applyNumberFormat="1" applyFont="1" applyFill="1" applyBorder="1" applyAlignment="1">
      <alignment vertical="center"/>
    </xf>
    <xf numFmtId="3" fontId="32" fillId="0" borderId="50" xfId="0" applyNumberFormat="1" applyFont="1" applyFill="1" applyBorder="1" applyAlignment="1">
      <alignment vertical="center"/>
    </xf>
    <xf numFmtId="0" fontId="4" fillId="0" borderId="87" xfId="0" applyFont="1" applyBorder="1" applyAlignment="1">
      <alignment vertical="center"/>
    </xf>
    <xf numFmtId="3" fontId="3" fillId="0" borderId="50" xfId="0" applyNumberFormat="1" applyFont="1" applyFill="1" applyBorder="1" applyAlignment="1">
      <alignment horizontal="right" vertical="center"/>
    </xf>
    <xf numFmtId="3" fontId="7" fillId="0" borderId="92" xfId="0" applyNumberFormat="1" applyFont="1" applyFill="1" applyBorder="1" applyAlignment="1">
      <alignment vertical="center"/>
    </xf>
    <xf numFmtId="3" fontId="2" fillId="0" borderId="50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7" fillId="0" borderId="88" xfId="0" applyNumberFormat="1" applyFont="1" applyFill="1" applyBorder="1" applyAlignment="1">
      <alignment vertical="center"/>
    </xf>
    <xf numFmtId="3" fontId="7" fillId="0" borderId="95" xfId="0" applyNumberFormat="1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3" fontId="7" fillId="0" borderId="9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0" fontId="38" fillId="0" borderId="69" xfId="0" applyFont="1" applyFill="1" applyBorder="1" applyAlignment="1" applyProtection="1">
      <alignment horizontal="left" vertical="center" wrapText="1" indent="1"/>
      <protection/>
    </xf>
    <xf numFmtId="0" fontId="38" fillId="0" borderId="93" xfId="104" applyFont="1" applyFill="1" applyBorder="1" applyAlignment="1" applyProtection="1">
      <alignment horizontal="left" vertical="center" wrapText="1" indent="1"/>
      <protection/>
    </xf>
    <xf numFmtId="0" fontId="50" fillId="0" borderId="37" xfId="0" applyFont="1" applyBorder="1" applyAlignment="1" applyProtection="1">
      <alignment horizontal="left" wrapText="1" indent="1"/>
      <protection/>
    </xf>
    <xf numFmtId="169" fontId="38" fillId="0" borderId="98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95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98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42" xfId="0" applyNumberFormat="1" applyFont="1" applyFill="1" applyBorder="1" applyAlignment="1" applyProtection="1">
      <alignment horizontal="right" vertical="center" wrapText="1" indent="1"/>
      <protection/>
    </xf>
    <xf numFmtId="10" fontId="38" fillId="0" borderId="45" xfId="0" applyNumberFormat="1" applyFont="1" applyFill="1" applyBorder="1" applyAlignment="1" applyProtection="1">
      <alignment horizontal="right" vertical="center" wrapText="1" indent="1"/>
      <protection/>
    </xf>
    <xf numFmtId="10" fontId="38" fillId="0" borderId="22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27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26" xfId="0" applyNumberFormat="1" applyFont="1" applyFill="1" applyBorder="1" applyAlignment="1" applyProtection="1">
      <alignment horizontal="right" vertical="center" wrapText="1" indent="1"/>
      <protection/>
    </xf>
    <xf numFmtId="10" fontId="3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57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57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58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9" xfId="0" applyFill="1" applyBorder="1" applyAlignment="1" applyProtection="1">
      <alignment horizontal="right" vertical="center" wrapText="1" indent="1"/>
      <protection/>
    </xf>
    <xf numFmtId="169" fontId="38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5" xfId="0" applyFont="1" applyFill="1" applyBorder="1" applyAlignment="1" applyProtection="1">
      <alignment horizontal="right" vertical="center" wrapText="1" indent="1"/>
      <protection/>
    </xf>
    <xf numFmtId="3" fontId="2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24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22" xfId="0" applyNumberFormat="1" applyFont="1" applyFill="1" applyBorder="1" applyAlignment="1" applyProtection="1">
      <alignment horizontal="right" vertical="center" wrapText="1" indent="1"/>
      <protection/>
    </xf>
    <xf numFmtId="10" fontId="38" fillId="0" borderId="27" xfId="0" applyNumberFormat="1" applyFont="1" applyFill="1" applyBorder="1" applyAlignment="1" applyProtection="1">
      <alignment horizontal="right" vertical="center" wrapText="1" indent="1"/>
      <protection/>
    </xf>
    <xf numFmtId="10" fontId="38" fillId="0" borderId="24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48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9" xfId="102" applyFont="1" applyFill="1" applyBorder="1" applyAlignment="1">
      <alignment horizontal="center" vertical="center" wrapText="1"/>
      <protection/>
    </xf>
    <xf numFmtId="3" fontId="7" fillId="0" borderId="89" xfId="102" applyNumberFormat="1" applyFont="1" applyFill="1" applyBorder="1" applyAlignment="1">
      <alignment horizontal="right" vertical="center"/>
      <protection/>
    </xf>
    <xf numFmtId="3" fontId="7" fillId="0" borderId="98" xfId="102" applyNumberFormat="1" applyFont="1" applyFill="1" applyBorder="1" applyAlignment="1">
      <alignment horizontal="right" vertical="center"/>
      <protection/>
    </xf>
    <xf numFmtId="3" fontId="7" fillId="0" borderId="88" xfId="102" applyNumberFormat="1" applyFont="1" applyFill="1" applyBorder="1" applyAlignment="1">
      <alignment horizontal="right" vertical="center"/>
      <protection/>
    </xf>
    <xf numFmtId="3" fontId="3" fillId="0" borderId="49" xfId="102" applyNumberFormat="1" applyFont="1" applyFill="1" applyBorder="1" applyAlignment="1">
      <alignment vertical="center"/>
      <protection/>
    </xf>
    <xf numFmtId="0" fontId="6" fillId="0" borderId="39" xfId="102" applyFont="1" applyFill="1" applyBorder="1" applyAlignment="1">
      <alignment horizontal="center" vertical="center"/>
      <protection/>
    </xf>
    <xf numFmtId="0" fontId="6" fillId="0" borderId="26" xfId="102" applyFont="1" applyFill="1" applyBorder="1" applyAlignment="1">
      <alignment horizontal="center" vertical="center"/>
      <protection/>
    </xf>
    <xf numFmtId="0" fontId="6" fillId="0" borderId="40" xfId="102" applyFont="1" applyFill="1" applyBorder="1" applyAlignment="1">
      <alignment horizontal="center" vertical="center" wrapText="1"/>
      <protection/>
    </xf>
    <xf numFmtId="0" fontId="0" fillId="0" borderId="42" xfId="102" applyFont="1" applyFill="1" applyBorder="1" applyAlignment="1">
      <alignment horizontal="center" vertical="center"/>
      <protection/>
    </xf>
    <xf numFmtId="3" fontId="7" fillId="0" borderId="22" xfId="102" applyNumberFormat="1" applyFont="1" applyFill="1" applyBorder="1" applyAlignment="1">
      <alignment horizontal="right" vertical="center"/>
      <protection/>
    </xf>
    <xf numFmtId="3" fontId="7" fillId="0" borderId="43" xfId="102" applyNumberFormat="1" applyFont="1" applyFill="1" applyBorder="1" applyAlignment="1">
      <alignment horizontal="right" vertical="center"/>
      <protection/>
    </xf>
    <xf numFmtId="0" fontId="0" fillId="0" borderId="45" xfId="102" applyFont="1" applyFill="1" applyBorder="1" applyAlignment="1">
      <alignment horizontal="center" vertical="center"/>
      <protection/>
    </xf>
    <xf numFmtId="3" fontId="7" fillId="0" borderId="57" xfId="102" applyNumberFormat="1" applyFont="1" applyFill="1" applyBorder="1" applyAlignment="1">
      <alignment horizontal="right" vertical="center"/>
      <protection/>
    </xf>
    <xf numFmtId="3" fontId="7" fillId="0" borderId="23" xfId="102" applyNumberFormat="1" applyFont="1" applyFill="1" applyBorder="1" applyAlignment="1">
      <alignment horizontal="right" vertical="center"/>
      <protection/>
    </xf>
    <xf numFmtId="0" fontId="2" fillId="0" borderId="45" xfId="102" applyFont="1" applyFill="1" applyBorder="1" applyAlignment="1">
      <alignment horizontal="center" vertical="center"/>
      <protection/>
    </xf>
    <xf numFmtId="0" fontId="0" fillId="0" borderId="52" xfId="0" applyFont="1" applyFill="1" applyBorder="1" applyAlignment="1">
      <alignment/>
    </xf>
    <xf numFmtId="0" fontId="6" fillId="0" borderId="26" xfId="102" applyFont="1" applyFill="1" applyBorder="1" applyAlignment="1">
      <alignment vertical="center"/>
      <protection/>
    </xf>
    <xf numFmtId="3" fontId="3" fillId="0" borderId="26" xfId="102" applyNumberFormat="1" applyFont="1" applyFill="1" applyBorder="1" applyAlignment="1">
      <alignment vertical="center"/>
      <protection/>
    </xf>
    <xf numFmtId="3" fontId="3" fillId="0" borderId="40" xfId="102" applyNumberFormat="1" applyFont="1" applyFill="1" applyBorder="1" applyAlignment="1">
      <alignment vertical="center"/>
      <protection/>
    </xf>
    <xf numFmtId="0" fontId="2" fillId="0" borderId="22" xfId="102" applyFont="1" applyFill="1" applyBorder="1" applyAlignment="1">
      <alignment horizontal="center" vertical="center"/>
      <protection/>
    </xf>
    <xf numFmtId="0" fontId="0" fillId="0" borderId="22" xfId="102" applyFont="1" applyFill="1" applyBorder="1" applyAlignment="1">
      <alignment horizontal="center" vertical="center"/>
      <protection/>
    </xf>
    <xf numFmtId="0" fontId="0" fillId="0" borderId="52" xfId="0" applyFill="1" applyBorder="1" applyAlignment="1">
      <alignment/>
    </xf>
    <xf numFmtId="3" fontId="69" fillId="0" borderId="40" xfId="103" applyNumberFormat="1" applyFont="1" applyBorder="1" applyAlignment="1">
      <alignment vertical="center"/>
      <protection/>
    </xf>
    <xf numFmtId="0" fontId="12" fillId="1" borderId="22" xfId="102" applyFont="1" applyFill="1" applyBorder="1" applyAlignment="1">
      <alignment horizontal="center" vertical="center" wrapText="1"/>
      <protection/>
    </xf>
    <xf numFmtId="49" fontId="33" fillId="0" borderId="0" xfId="0" applyNumberFormat="1" applyFont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6" xfId="0" applyFont="1" applyBorder="1" applyAlignment="1">
      <alignment horizontal="left" wrapText="1"/>
    </xf>
    <xf numFmtId="0" fontId="7" fillId="0" borderId="92" xfId="0" applyFont="1" applyBorder="1" applyAlignment="1">
      <alignment horizontal="left" wrapText="1"/>
    </xf>
    <xf numFmtId="0" fontId="7" fillId="0" borderId="70" xfId="0" applyFont="1" applyFill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3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left" wrapText="1"/>
    </xf>
    <xf numFmtId="0" fontId="7" fillId="0" borderId="100" xfId="0" applyFont="1" applyBorder="1" applyAlignment="1">
      <alignment horizontal="left" wrapText="1"/>
    </xf>
    <xf numFmtId="49" fontId="7" fillId="0" borderId="30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0" fontId="7" fillId="0" borderId="66" xfId="0" applyFont="1" applyFill="1" applyBorder="1" applyAlignment="1">
      <alignment horizontal="left" vertical="center" wrapText="1"/>
    </xf>
    <xf numFmtId="0" fontId="7" fillId="0" borderId="92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6" fillId="0" borderId="22" xfId="104" applyFont="1" applyFill="1" applyBorder="1" applyAlignment="1">
      <alignment horizontal="left"/>
      <protection/>
    </xf>
    <xf numFmtId="0" fontId="39" fillId="0" borderId="0" xfId="104" applyFont="1" applyFill="1" applyBorder="1" applyAlignment="1">
      <alignment horizontal="center" wrapText="1"/>
      <protection/>
    </xf>
    <xf numFmtId="0" fontId="25" fillId="0" borderId="60" xfId="104" applyFont="1" applyFill="1" applyBorder="1" applyAlignment="1" applyProtection="1">
      <alignment horizontal="left" vertical="center" wrapText="1"/>
      <protection/>
    </xf>
    <xf numFmtId="0" fontId="25" fillId="0" borderId="37" xfId="104" applyFont="1" applyFill="1" applyBorder="1" applyAlignment="1" applyProtection="1">
      <alignment horizontal="left" vertical="center" wrapText="1"/>
      <protection/>
    </xf>
    <xf numFmtId="0" fontId="25" fillId="0" borderId="49" xfId="104" applyFont="1" applyFill="1" applyBorder="1" applyAlignment="1" applyProtection="1">
      <alignment horizontal="left" vertical="center" wrapText="1"/>
      <protection/>
    </xf>
    <xf numFmtId="169" fontId="53" fillId="0" borderId="0" xfId="104" applyNumberFormat="1" applyFont="1" applyFill="1" applyBorder="1" applyAlignment="1" applyProtection="1">
      <alignment horizontal="left" vertical="center"/>
      <protection/>
    </xf>
    <xf numFmtId="0" fontId="27" fillId="0" borderId="64" xfId="104" applyFont="1" applyFill="1" applyBorder="1" applyAlignment="1" applyProtection="1">
      <alignment horizontal="left" vertical="center" wrapText="1"/>
      <protection/>
    </xf>
    <xf numFmtId="0" fontId="27" fillId="0" borderId="32" xfId="104" applyFont="1" applyFill="1" applyBorder="1" applyAlignment="1" applyProtection="1">
      <alignment horizontal="left" vertical="center" wrapText="1"/>
      <protection/>
    </xf>
    <xf numFmtId="0" fontId="27" fillId="0" borderId="88" xfId="104" applyFont="1" applyFill="1" applyBorder="1" applyAlignment="1" applyProtection="1">
      <alignment horizontal="left" vertical="center" wrapText="1"/>
      <protection/>
    </xf>
    <xf numFmtId="0" fontId="27" fillId="0" borderId="73" xfId="104" applyFont="1" applyFill="1" applyBorder="1" applyAlignment="1" applyProtection="1">
      <alignment horizontal="left" vertical="center" wrapText="1"/>
      <protection/>
    </xf>
    <xf numFmtId="0" fontId="27" fillId="0" borderId="54" xfId="104" applyFont="1" applyFill="1" applyBorder="1" applyAlignment="1" applyProtection="1">
      <alignment horizontal="left" vertical="center" wrapText="1"/>
      <protection/>
    </xf>
    <xf numFmtId="0" fontId="27" fillId="0" borderId="90" xfId="104" applyFont="1" applyFill="1" applyBorder="1" applyAlignment="1" applyProtection="1">
      <alignment horizontal="left" vertical="center" wrapText="1"/>
      <protection/>
    </xf>
    <xf numFmtId="0" fontId="27" fillId="0" borderId="72" xfId="104" applyFont="1" applyFill="1" applyBorder="1" applyAlignment="1" applyProtection="1">
      <alignment horizontal="left" vertical="center" wrapText="1"/>
      <protection/>
    </xf>
    <xf numFmtId="0" fontId="27" fillId="0" borderId="53" xfId="104" applyFont="1" applyFill="1" applyBorder="1" applyAlignment="1" applyProtection="1">
      <alignment horizontal="left" vertical="center" wrapText="1"/>
      <protection/>
    </xf>
    <xf numFmtId="0" fontId="27" fillId="0" borderId="89" xfId="104" applyFont="1" applyFill="1" applyBorder="1" applyAlignment="1" applyProtection="1">
      <alignment horizontal="left" vertical="center" wrapText="1"/>
      <protection/>
    </xf>
    <xf numFmtId="0" fontId="36" fillId="0" borderId="24" xfId="104" applyFont="1" applyFill="1" applyBorder="1" applyAlignment="1">
      <alignment horizontal="left"/>
      <protection/>
    </xf>
    <xf numFmtId="0" fontId="27" fillId="0" borderId="74" xfId="104" applyFont="1" applyFill="1" applyBorder="1" applyAlignment="1" applyProtection="1">
      <alignment horizontal="left" vertical="center" wrapText="1"/>
      <protection/>
    </xf>
    <xf numFmtId="0" fontId="27" fillId="0" borderId="66" xfId="104" applyFont="1" applyFill="1" applyBorder="1" applyAlignment="1" applyProtection="1">
      <alignment horizontal="left" vertical="center" wrapText="1"/>
      <protection/>
    </xf>
    <xf numFmtId="0" fontId="27" fillId="0" borderId="91" xfId="104" applyFont="1" applyFill="1" applyBorder="1" applyAlignment="1" applyProtection="1">
      <alignment horizontal="left" vertical="center" wrapText="1"/>
      <protection/>
    </xf>
    <xf numFmtId="0" fontId="25" fillId="0" borderId="42" xfId="104" applyFont="1" applyFill="1" applyBorder="1" applyAlignment="1">
      <alignment horizontal="left"/>
      <protection/>
    </xf>
    <xf numFmtId="0" fontId="27" fillId="0" borderId="22" xfId="104" applyFont="1" applyFill="1" applyBorder="1" applyAlignment="1">
      <alignment horizontal="left"/>
      <protection/>
    </xf>
    <xf numFmtId="0" fontId="39" fillId="0" borderId="0" xfId="104" applyFont="1" applyFill="1" applyAlignment="1">
      <alignment horizontal="center" wrapText="1"/>
      <protection/>
    </xf>
    <xf numFmtId="0" fontId="53" fillId="0" borderId="0" xfId="104" applyFont="1" applyFill="1" applyBorder="1" applyAlignment="1">
      <alignment horizontal="left"/>
      <protection/>
    </xf>
    <xf numFmtId="0" fontId="39" fillId="0" borderId="0" xfId="104" applyFont="1" applyFill="1" applyAlignment="1">
      <alignment horizontal="center"/>
      <protection/>
    </xf>
    <xf numFmtId="0" fontId="7" fillId="0" borderId="32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49" fontId="7" fillId="0" borderId="65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 wrapText="1"/>
    </xf>
    <xf numFmtId="49" fontId="3" fillId="0" borderId="67" xfId="0" applyNumberFormat="1" applyFont="1" applyBorder="1" applyAlignment="1">
      <alignment horizontal="center" vertical="center"/>
    </xf>
    <xf numFmtId="169" fontId="53" fillId="0" borderId="54" xfId="104" applyNumberFormat="1" applyFont="1" applyFill="1" applyBorder="1" applyAlignment="1" applyProtection="1">
      <alignment horizontal="left" vertical="center"/>
      <protection/>
    </xf>
    <xf numFmtId="0" fontId="21" fillId="0" borderId="0" xfId="102" applyFont="1" applyAlignment="1">
      <alignment horizontal="center" vertical="center"/>
      <protection/>
    </xf>
    <xf numFmtId="0" fontId="22" fillId="0" borderId="54" xfId="102" applyFont="1" applyBorder="1" applyAlignment="1">
      <alignment horizontal="center" vertical="center"/>
      <protection/>
    </xf>
    <xf numFmtId="0" fontId="22" fillId="0" borderId="0" xfId="102" applyFont="1" applyBorder="1" applyAlignment="1">
      <alignment horizontal="center" vertical="center"/>
      <protection/>
    </xf>
    <xf numFmtId="0" fontId="78" fillId="0" borderId="0" xfId="102" applyFont="1" applyAlignment="1">
      <alignment horizontal="right" vertical="center"/>
      <protection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left" vertical="center"/>
    </xf>
    <xf numFmtId="49" fontId="7" fillId="0" borderId="37" xfId="0" applyNumberFormat="1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wrapText="1"/>
    </xf>
    <xf numFmtId="3" fontId="79" fillId="0" borderId="0" xfId="0" applyNumberFormat="1" applyFont="1" applyFill="1" applyAlignment="1">
      <alignment horizontal="right"/>
    </xf>
    <xf numFmtId="0" fontId="7" fillId="0" borderId="66" xfId="0" applyFont="1" applyFill="1" applyBorder="1" applyAlignment="1">
      <alignment horizontal="left" wrapText="1"/>
    </xf>
    <xf numFmtId="0" fontId="7" fillId="0" borderId="53" xfId="0" applyFont="1" applyFill="1" applyBorder="1" applyAlignment="1">
      <alignment horizontal="left" wrapText="1"/>
    </xf>
    <xf numFmtId="49" fontId="33" fillId="0" borderId="0" xfId="0" applyNumberFormat="1" applyFont="1" applyFill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49" fontId="7" fillId="0" borderId="66" xfId="0" applyNumberFormat="1" applyFont="1" applyBorder="1" applyAlignment="1">
      <alignment horizontal="left" vertical="center" wrapText="1"/>
    </xf>
    <xf numFmtId="49" fontId="7" fillId="0" borderId="92" xfId="0" applyNumberFormat="1" applyFont="1" applyBorder="1" applyAlignment="1">
      <alignment horizontal="left" vertical="center" wrapText="1"/>
    </xf>
    <xf numFmtId="3" fontId="80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169" fontId="75" fillId="0" borderId="0" xfId="0" applyNumberFormat="1" applyFont="1" applyFill="1" applyAlignment="1">
      <alignment horizontal="right" vertical="center" wrapText="1"/>
    </xf>
    <xf numFmtId="0" fontId="42" fillId="0" borderId="30" xfId="0" applyFont="1" applyFill="1" applyBorder="1" applyAlignment="1" applyProtection="1">
      <alignment horizontal="center" vertical="center" wrapText="1"/>
      <protection/>
    </xf>
    <xf numFmtId="0" fontId="42" fillId="0" borderId="49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42" fillId="0" borderId="39" xfId="0" applyFont="1" applyFill="1" applyBorder="1" applyAlignment="1" applyProtection="1">
      <alignment horizontal="center" vertical="center" wrapText="1"/>
      <protection/>
    </xf>
    <xf numFmtId="0" fontId="42" fillId="0" borderId="26" xfId="0" applyFont="1" applyFill="1" applyBorder="1" applyAlignment="1" applyProtection="1">
      <alignment horizontal="center" vertical="center" wrapText="1"/>
      <protection/>
    </xf>
    <xf numFmtId="0" fontId="42" fillId="0" borderId="40" xfId="0" applyFont="1" applyFill="1" applyBorder="1" applyAlignment="1" applyProtection="1">
      <alignment horizontal="center" vertical="center" wrapText="1"/>
      <protection/>
    </xf>
    <xf numFmtId="169" fontId="28" fillId="0" borderId="0" xfId="0" applyNumberFormat="1" applyFont="1" applyFill="1" applyAlignment="1">
      <alignment horizontal="right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16" fillId="0" borderId="39" xfId="102" applyFont="1" applyFill="1" applyBorder="1" applyAlignment="1">
      <alignment horizontal="center" vertical="center"/>
      <protection/>
    </xf>
    <xf numFmtId="0" fontId="16" fillId="0" borderId="26" xfId="102" applyFont="1" applyFill="1" applyBorder="1" applyAlignment="1">
      <alignment horizontal="center" vertical="center"/>
      <protection/>
    </xf>
    <xf numFmtId="0" fontId="16" fillId="0" borderId="40" xfId="102" applyFont="1" applyFill="1" applyBorder="1" applyAlignment="1">
      <alignment horizontal="center" vertical="center"/>
      <protection/>
    </xf>
    <xf numFmtId="0" fontId="12" fillId="0" borderId="30" xfId="102" applyFont="1" applyFill="1" applyBorder="1" applyAlignment="1">
      <alignment horizontal="center" vertical="center"/>
      <protection/>
    </xf>
    <xf numFmtId="0" fontId="12" fillId="0" borderId="49" xfId="102" applyFont="1" applyFill="1" applyBorder="1" applyAlignment="1">
      <alignment horizontal="center" vertical="center"/>
      <protection/>
    </xf>
    <xf numFmtId="3" fontId="16" fillId="0" borderId="39" xfId="102" applyNumberFormat="1" applyFont="1" applyFill="1" applyBorder="1" applyAlignment="1">
      <alignment horizontal="center" vertical="center"/>
      <protection/>
    </xf>
    <xf numFmtId="3" fontId="16" fillId="0" borderId="26" xfId="102" applyNumberFormat="1" applyFont="1" applyFill="1" applyBorder="1" applyAlignment="1">
      <alignment horizontal="center" vertical="center"/>
      <protection/>
    </xf>
    <xf numFmtId="3" fontId="16" fillId="0" borderId="40" xfId="102" applyNumberFormat="1" applyFont="1" applyFill="1" applyBorder="1" applyAlignment="1">
      <alignment horizontal="center" vertical="center"/>
      <protection/>
    </xf>
    <xf numFmtId="0" fontId="12" fillId="0" borderId="37" xfId="102" applyFont="1" applyFill="1" applyBorder="1" applyAlignment="1">
      <alignment horizontal="center" vertical="center"/>
      <protection/>
    </xf>
    <xf numFmtId="0" fontId="14" fillId="0" borderId="0" xfId="102" applyFont="1" applyFill="1" applyAlignment="1">
      <alignment horizontal="center" vertical="center"/>
      <protection/>
    </xf>
    <xf numFmtId="0" fontId="12" fillId="0" borderId="54" xfId="102" applyFont="1" applyFill="1" applyBorder="1" applyAlignment="1">
      <alignment horizontal="right" vertical="center"/>
      <protection/>
    </xf>
    <xf numFmtId="0" fontId="3" fillId="0" borderId="39" xfId="102" applyFont="1" applyFill="1" applyBorder="1" applyAlignment="1">
      <alignment horizontal="center" vertical="center"/>
      <protection/>
    </xf>
    <xf numFmtId="0" fontId="3" fillId="0" borderId="26" xfId="102" applyFont="1" applyFill="1" applyBorder="1" applyAlignment="1">
      <alignment horizontal="center" vertical="center"/>
      <protection/>
    </xf>
    <xf numFmtId="0" fontId="18" fillId="0" borderId="0" xfId="102" applyFont="1" applyFill="1" applyBorder="1" applyAlignment="1">
      <alignment horizontal="center"/>
      <protection/>
    </xf>
    <xf numFmtId="0" fontId="12" fillId="0" borderId="0" xfId="102" applyFont="1" applyFill="1" applyBorder="1" applyAlignment="1">
      <alignment horizontal="center"/>
      <protection/>
    </xf>
    <xf numFmtId="0" fontId="17" fillId="0" borderId="0" xfId="102" applyFont="1" applyFill="1" applyAlignment="1">
      <alignment horizontal="right"/>
      <protection/>
    </xf>
    <xf numFmtId="0" fontId="17" fillId="0" borderId="54" xfId="102" applyFont="1" applyFill="1" applyBorder="1" applyAlignment="1">
      <alignment horizontal="right"/>
      <protection/>
    </xf>
    <xf numFmtId="168" fontId="67" fillId="0" borderId="64" xfId="103" applyNumberFormat="1" applyFont="1" applyBorder="1" applyAlignment="1">
      <alignment horizontal="left" wrapText="1"/>
      <protection/>
    </xf>
    <xf numFmtId="168" fontId="67" fillId="0" borderId="32" xfId="103" applyNumberFormat="1" applyFont="1" applyBorder="1" applyAlignment="1">
      <alignment horizontal="left" wrapText="1"/>
      <protection/>
    </xf>
    <xf numFmtId="3" fontId="77" fillId="0" borderId="0" xfId="102" applyNumberFormat="1" applyFont="1" applyAlignment="1">
      <alignment horizontal="right"/>
      <protection/>
    </xf>
    <xf numFmtId="0" fontId="64" fillId="0" borderId="0" xfId="102" applyFont="1" applyAlignment="1">
      <alignment horizontal="center"/>
      <protection/>
    </xf>
    <xf numFmtId="0" fontId="65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168" fontId="66" fillId="0" borderId="37" xfId="103" applyNumberFormat="1" applyFont="1" applyBorder="1" applyAlignment="1">
      <alignment horizontal="center" vertical="center" wrapText="1"/>
      <protection/>
    </xf>
    <xf numFmtId="3" fontId="77" fillId="0" borderId="54" xfId="102" applyNumberFormat="1" applyFont="1" applyBorder="1" applyAlignment="1">
      <alignment horizontal="right"/>
      <protection/>
    </xf>
    <xf numFmtId="3" fontId="66" fillId="0" borderId="39" xfId="103" applyNumberFormat="1" applyFont="1" applyBorder="1" applyAlignment="1">
      <alignment horizontal="center" vertical="center" wrapText="1"/>
      <protection/>
    </xf>
    <xf numFmtId="3" fontId="66" fillId="0" borderId="26" xfId="103" applyNumberFormat="1" applyFont="1" applyBorder="1" applyAlignment="1">
      <alignment horizontal="center" vertical="center" wrapText="1"/>
      <protection/>
    </xf>
    <xf numFmtId="3" fontId="66" fillId="0" borderId="40" xfId="103" applyNumberFormat="1" applyFont="1" applyBorder="1" applyAlignment="1">
      <alignment horizontal="center" vertical="center" wrapText="1"/>
      <protection/>
    </xf>
    <xf numFmtId="0" fontId="67" fillId="0" borderId="32" xfId="103" applyFont="1" applyFill="1" applyBorder="1" applyAlignment="1">
      <alignment horizontal="left"/>
      <protection/>
    </xf>
    <xf numFmtId="0" fontId="67" fillId="0" borderId="53" xfId="103" applyFont="1" applyFill="1" applyBorder="1" applyAlignment="1">
      <alignment horizontal="left"/>
      <protection/>
    </xf>
    <xf numFmtId="0" fontId="67" fillId="0" borderId="64" xfId="103" applyFont="1" applyFill="1" applyBorder="1" applyAlignment="1">
      <alignment horizontal="left" vertical="center" wrapText="1"/>
      <protection/>
    </xf>
    <xf numFmtId="0" fontId="67" fillId="0" borderId="32" xfId="103" applyFont="1" applyFill="1" applyBorder="1" applyAlignment="1">
      <alignment horizontal="left" vertical="center" wrapText="1"/>
      <protection/>
    </xf>
    <xf numFmtId="168" fontId="67" fillId="0" borderId="32" xfId="103" applyNumberFormat="1" applyFont="1" applyFill="1" applyBorder="1" applyAlignment="1">
      <alignment horizontal="left" wrapText="1"/>
      <protection/>
    </xf>
    <xf numFmtId="168" fontId="67" fillId="0" borderId="74" xfId="103" applyNumberFormat="1" applyFont="1" applyBorder="1" applyAlignment="1">
      <alignment horizontal="left" wrapText="1"/>
      <protection/>
    </xf>
    <xf numFmtId="168" fontId="67" fillId="0" borderId="66" xfId="103" applyNumberFormat="1" applyFont="1" applyBorder="1" applyAlignment="1">
      <alignment horizontal="left" wrapText="1"/>
      <protection/>
    </xf>
    <xf numFmtId="0" fontId="69" fillId="0" borderId="37" xfId="103" applyFont="1" applyBorder="1" applyAlignment="1">
      <alignment horizontal="center" vertical="center" wrapText="1"/>
      <protection/>
    </xf>
    <xf numFmtId="168" fontId="67" fillId="0" borderId="70" xfId="103" applyNumberFormat="1" applyFont="1" applyBorder="1" applyAlignment="1">
      <alignment horizontal="left" wrapText="1"/>
      <protection/>
    </xf>
    <xf numFmtId="3" fontId="77" fillId="0" borderId="0" xfId="102" applyNumberFormat="1" applyFont="1" applyAlignment="1">
      <alignment horizontal="right" vertical="center"/>
      <protection/>
    </xf>
    <xf numFmtId="0" fontId="70" fillId="0" borderId="0" xfId="102" applyFont="1" applyAlignment="1">
      <alignment horizontal="center" vertical="center" wrapText="1"/>
      <protection/>
    </xf>
    <xf numFmtId="0" fontId="70" fillId="0" borderId="0" xfId="102" applyFont="1" applyAlignment="1">
      <alignment horizontal="center" vertical="center"/>
      <protection/>
    </xf>
    <xf numFmtId="0" fontId="12" fillId="0" borderId="0" xfId="102" applyFont="1" applyFill="1" applyAlignment="1">
      <alignment horizontal="center" vertical="center"/>
      <protection/>
    </xf>
    <xf numFmtId="0" fontId="68" fillId="0" borderId="0" xfId="102" applyFont="1" applyAlignment="1">
      <alignment horizontal="center" vertical="center"/>
      <protection/>
    </xf>
    <xf numFmtId="0" fontId="23" fillId="50" borderId="78" xfId="102" applyFont="1" applyFill="1" applyBorder="1" applyAlignment="1">
      <alignment horizontal="center" vertical="center" wrapText="1"/>
      <protection/>
    </xf>
    <xf numFmtId="0" fontId="23" fillId="50" borderId="31" xfId="102" applyFont="1" applyFill="1" applyBorder="1" applyAlignment="1">
      <alignment horizontal="center" vertical="center" wrapText="1"/>
      <protection/>
    </xf>
    <xf numFmtId="0" fontId="23" fillId="50" borderId="85" xfId="102" applyFont="1" applyFill="1" applyBorder="1" applyAlignment="1">
      <alignment horizontal="center" vertical="center" wrapText="1"/>
      <protection/>
    </xf>
    <xf numFmtId="0" fontId="23" fillId="50" borderId="38" xfId="102" applyFont="1" applyFill="1" applyBorder="1" applyAlignment="1">
      <alignment horizontal="center" vertical="center" wrapText="1"/>
      <protection/>
    </xf>
    <xf numFmtId="0" fontId="23" fillId="50" borderId="52" xfId="102" applyFont="1" applyFill="1" applyBorder="1" applyAlignment="1">
      <alignment horizontal="center" vertical="center" wrapText="1"/>
      <protection/>
    </xf>
    <xf numFmtId="0" fontId="23" fillId="50" borderId="101" xfId="102" applyFont="1" applyFill="1" applyBorder="1" applyAlignment="1">
      <alignment horizontal="center" vertical="center" wrapText="1"/>
      <protection/>
    </xf>
    <xf numFmtId="3" fontId="23" fillId="50" borderId="71" xfId="102" applyNumberFormat="1" applyFont="1" applyFill="1" applyBorder="1" applyAlignment="1">
      <alignment horizontal="center" vertical="center" wrapText="1"/>
      <protection/>
    </xf>
    <xf numFmtId="3" fontId="23" fillId="50" borderId="67" xfId="102" applyNumberFormat="1" applyFont="1" applyFill="1" applyBorder="1" applyAlignment="1">
      <alignment horizontal="center" vertical="center" wrapText="1"/>
      <protection/>
    </xf>
    <xf numFmtId="3" fontId="23" fillId="50" borderId="68" xfId="102" applyNumberFormat="1" applyFont="1" applyFill="1" applyBorder="1" applyAlignment="1">
      <alignment horizontal="center" vertical="center" wrapText="1"/>
      <protection/>
    </xf>
    <xf numFmtId="3" fontId="23" fillId="50" borderId="93" xfId="102" applyNumberFormat="1" applyFont="1" applyFill="1" applyBorder="1" applyAlignment="1">
      <alignment horizontal="center" vertical="center" wrapText="1"/>
      <protection/>
    </xf>
    <xf numFmtId="3" fontId="23" fillId="50" borderId="0" xfId="102" applyNumberFormat="1" applyFont="1" applyFill="1" applyBorder="1" applyAlignment="1">
      <alignment horizontal="center" vertical="center" wrapText="1"/>
      <protection/>
    </xf>
    <xf numFmtId="3" fontId="23" fillId="50" borderId="95" xfId="102" applyNumberFormat="1" applyFont="1" applyFill="1" applyBorder="1" applyAlignment="1">
      <alignment horizontal="center" vertical="center" wrapText="1"/>
      <protection/>
    </xf>
    <xf numFmtId="3" fontId="23" fillId="50" borderId="102" xfId="102" applyNumberFormat="1" applyFont="1" applyFill="1" applyBorder="1" applyAlignment="1">
      <alignment horizontal="center" vertical="center" wrapText="1"/>
      <protection/>
    </xf>
    <xf numFmtId="3" fontId="23" fillId="50" borderId="103" xfId="102" applyNumberFormat="1" applyFont="1" applyFill="1" applyBorder="1" applyAlignment="1">
      <alignment horizontal="center" vertical="center" wrapText="1"/>
      <protection/>
    </xf>
    <xf numFmtId="3" fontId="23" fillId="50" borderId="104" xfId="102" applyNumberFormat="1" applyFont="1" applyFill="1" applyBorder="1" applyAlignment="1">
      <alignment horizontal="center" vertical="center" wrapText="1"/>
      <protection/>
    </xf>
    <xf numFmtId="3" fontId="23" fillId="50" borderId="105" xfId="102" applyNumberFormat="1" applyFont="1" applyFill="1" applyBorder="1" applyAlignment="1">
      <alignment horizontal="center" vertical="center" wrapText="1"/>
      <protection/>
    </xf>
    <xf numFmtId="3" fontId="23" fillId="50" borderId="87" xfId="102" applyNumberFormat="1" applyFont="1" applyFill="1" applyBorder="1" applyAlignment="1">
      <alignment horizontal="center" vertical="center" wrapText="1"/>
      <protection/>
    </xf>
    <xf numFmtId="3" fontId="23" fillId="50" borderId="106" xfId="102" applyNumberFormat="1" applyFont="1" applyFill="1" applyBorder="1" applyAlignment="1">
      <alignment horizontal="center" vertical="center" wrapText="1"/>
      <protection/>
    </xf>
    <xf numFmtId="0" fontId="70" fillId="0" borderId="54" xfId="102" applyFont="1" applyBorder="1" applyAlignment="1">
      <alignment horizontal="center" vertical="center" wrapText="1"/>
      <protection/>
    </xf>
    <xf numFmtId="0" fontId="21" fillId="0" borderId="0" xfId="102" applyFont="1" applyAlignment="1">
      <alignment horizontal="center"/>
      <protection/>
    </xf>
    <xf numFmtId="0" fontId="12" fillId="0" borderId="0" xfId="102" applyFont="1" applyAlignment="1">
      <alignment horizontal="center"/>
      <protection/>
    </xf>
    <xf numFmtId="0" fontId="14" fillId="0" borderId="0" xfId="102" applyFont="1" applyAlignment="1">
      <alignment horizontal="center"/>
      <protection/>
    </xf>
    <xf numFmtId="0" fontId="12" fillId="1" borderId="47" xfId="102" applyFont="1" applyFill="1" applyBorder="1" applyAlignment="1">
      <alignment horizontal="center" vertical="center" wrapText="1"/>
      <protection/>
    </xf>
    <xf numFmtId="0" fontId="12" fillId="1" borderId="25" xfId="102" applyFont="1" applyFill="1" applyBorder="1" applyAlignment="1">
      <alignment horizontal="center" vertical="center" wrapText="1"/>
      <protection/>
    </xf>
    <xf numFmtId="0" fontId="12" fillId="1" borderId="72" xfId="102" applyFont="1" applyFill="1" applyBorder="1" applyAlignment="1">
      <alignment horizontal="center" vertical="center"/>
      <protection/>
    </xf>
    <xf numFmtId="0" fontId="12" fillId="1" borderId="53" xfId="102" applyFont="1" applyFill="1" applyBorder="1" applyAlignment="1">
      <alignment horizontal="center" vertical="center"/>
      <protection/>
    </xf>
    <xf numFmtId="0" fontId="12" fillId="1" borderId="19" xfId="102" applyFont="1" applyFill="1" applyBorder="1" applyAlignment="1">
      <alignment horizontal="center" vertical="center"/>
      <protection/>
    </xf>
    <xf numFmtId="0" fontId="12" fillId="1" borderId="42" xfId="102" applyFont="1" applyFill="1" applyBorder="1" applyAlignment="1">
      <alignment horizontal="center" vertical="center"/>
      <protection/>
    </xf>
    <xf numFmtId="0" fontId="12" fillId="1" borderId="43" xfId="102" applyFont="1" applyFill="1" applyBorder="1" applyAlignment="1">
      <alignment horizontal="center" vertical="center"/>
      <protection/>
    </xf>
    <xf numFmtId="0" fontId="12" fillId="1" borderId="64" xfId="102" applyFont="1" applyFill="1" applyBorder="1" applyAlignment="1">
      <alignment horizontal="center" vertical="center"/>
      <protection/>
    </xf>
    <xf numFmtId="0" fontId="12" fillId="1" borderId="32" xfId="102" applyFont="1" applyFill="1" applyBorder="1" applyAlignment="1">
      <alignment horizontal="center" vertical="center"/>
      <protection/>
    </xf>
    <xf numFmtId="0" fontId="12" fillId="1" borderId="88" xfId="102" applyFont="1" applyFill="1" applyBorder="1" applyAlignment="1">
      <alignment horizontal="center" vertical="center"/>
      <protection/>
    </xf>
    <xf numFmtId="0" fontId="12" fillId="1" borderId="20" xfId="102" applyFont="1" applyFill="1" applyBorder="1" applyAlignment="1">
      <alignment horizontal="center" vertical="center"/>
      <protection/>
    </xf>
    <xf numFmtId="0" fontId="12" fillId="1" borderId="22" xfId="102" applyFont="1" applyFill="1" applyBorder="1" applyAlignment="1">
      <alignment horizontal="center" vertical="center"/>
      <protection/>
    </xf>
    <xf numFmtId="0" fontId="14" fillId="0" borderId="0" xfId="102" applyFont="1" applyFill="1" applyAlignment="1">
      <alignment horizontal="center" wrapText="1"/>
      <protection/>
    </xf>
    <xf numFmtId="0" fontId="12" fillId="1" borderId="23" xfId="102" applyFont="1" applyFill="1" applyBorder="1" applyAlignment="1">
      <alignment horizontal="center" vertical="center"/>
      <protection/>
    </xf>
    <xf numFmtId="0" fontId="81" fillId="0" borderId="0" xfId="102" applyFont="1" applyAlignment="1">
      <alignment horizontal="right"/>
      <protection/>
    </xf>
    <xf numFmtId="0" fontId="12" fillId="0" borderId="47" xfId="102" applyFont="1" applyFill="1" applyBorder="1" applyAlignment="1">
      <alignment horizontal="center" vertical="center" wrapText="1"/>
      <protection/>
    </xf>
    <xf numFmtId="0" fontId="12" fillId="0" borderId="25" xfId="102" applyFont="1" applyFill="1" applyBorder="1" applyAlignment="1">
      <alignment horizontal="center" vertical="center" wrapText="1"/>
      <protection/>
    </xf>
    <xf numFmtId="0" fontId="12" fillId="0" borderId="72" xfId="102" applyFont="1" applyFill="1" applyBorder="1" applyAlignment="1">
      <alignment horizontal="center" vertical="center"/>
      <protection/>
    </xf>
    <xf numFmtId="0" fontId="12" fillId="0" borderId="53" xfId="102" applyFont="1" applyFill="1" applyBorder="1" applyAlignment="1">
      <alignment horizontal="center" vertical="center"/>
      <protection/>
    </xf>
    <xf numFmtId="0" fontId="12" fillId="0" borderId="19" xfId="102" applyFont="1" applyFill="1" applyBorder="1" applyAlignment="1">
      <alignment horizontal="center" vertical="center"/>
      <protection/>
    </xf>
    <xf numFmtId="0" fontId="12" fillId="0" borderId="42" xfId="102" applyFont="1" applyFill="1" applyBorder="1" applyAlignment="1">
      <alignment horizontal="center" vertical="center"/>
      <protection/>
    </xf>
    <xf numFmtId="0" fontId="12" fillId="0" borderId="43" xfId="102" applyFont="1" applyFill="1" applyBorder="1" applyAlignment="1">
      <alignment horizontal="center" vertical="center"/>
      <protection/>
    </xf>
    <xf numFmtId="0" fontId="12" fillId="0" borderId="64" xfId="102" applyFont="1" applyFill="1" applyBorder="1" applyAlignment="1">
      <alignment horizontal="center" vertical="center"/>
      <protection/>
    </xf>
    <xf numFmtId="0" fontId="12" fillId="0" borderId="32" xfId="102" applyFont="1" applyFill="1" applyBorder="1" applyAlignment="1">
      <alignment horizontal="center" vertical="center"/>
      <protection/>
    </xf>
    <xf numFmtId="0" fontId="12" fillId="0" borderId="88" xfId="102" applyFont="1" applyFill="1" applyBorder="1" applyAlignment="1">
      <alignment horizontal="center" vertical="center"/>
      <protection/>
    </xf>
    <xf numFmtId="0" fontId="12" fillId="0" borderId="20" xfId="102" applyFont="1" applyFill="1" applyBorder="1" applyAlignment="1">
      <alignment horizontal="center" vertical="center"/>
      <protection/>
    </xf>
    <xf numFmtId="0" fontId="12" fillId="0" borderId="22" xfId="102" applyFont="1" applyFill="1" applyBorder="1" applyAlignment="1">
      <alignment horizontal="center" vertical="center"/>
      <protection/>
    </xf>
    <xf numFmtId="0" fontId="12" fillId="0" borderId="23" xfId="102" applyFont="1" applyFill="1" applyBorder="1" applyAlignment="1">
      <alignment horizontal="center" vertical="center"/>
      <protection/>
    </xf>
    <xf numFmtId="0" fontId="39" fillId="0" borderId="39" xfId="104" applyFont="1" applyFill="1" applyBorder="1" applyAlignment="1" applyProtection="1">
      <alignment horizontal="left" vertical="center"/>
      <protection/>
    </xf>
    <xf numFmtId="0" fontId="39" fillId="0" borderId="26" xfId="104" applyFont="1" applyFill="1" applyBorder="1" applyAlignment="1" applyProtection="1">
      <alignment horizontal="left" vertical="center"/>
      <protection/>
    </xf>
    <xf numFmtId="0" fontId="38" fillId="0" borderId="67" xfId="104" applyFont="1" applyFill="1" applyBorder="1" applyAlignment="1">
      <alignment horizontal="justify" vertical="center" wrapText="1"/>
      <protection/>
    </xf>
    <xf numFmtId="0" fontId="37" fillId="0" borderId="54" xfId="0" applyFont="1" applyFill="1" applyBorder="1" applyAlignment="1" applyProtection="1">
      <alignment horizontal="right" vertical="center"/>
      <protection/>
    </xf>
    <xf numFmtId="169" fontId="73" fillId="0" borderId="0" xfId="104" applyNumberFormat="1" applyFont="1" applyFill="1" applyBorder="1" applyAlignment="1" applyProtection="1">
      <alignment horizontal="center" vertical="center" wrapText="1"/>
      <protection/>
    </xf>
    <xf numFmtId="0" fontId="36" fillId="0" borderId="0" xfId="104" applyFont="1" applyFill="1" applyAlignment="1">
      <alignment horizontal="right" vertical="center"/>
      <protection/>
    </xf>
    <xf numFmtId="3" fontId="39" fillId="0" borderId="0" xfId="105" applyNumberFormat="1" applyFont="1" applyFill="1" applyAlignment="1" applyProtection="1">
      <alignment horizontal="center" wrapText="1"/>
      <protection/>
    </xf>
    <xf numFmtId="3" fontId="39" fillId="0" borderId="0" xfId="105" applyNumberFormat="1" applyFont="1" applyFill="1" applyAlignment="1" applyProtection="1">
      <alignment horizontal="center"/>
      <protection/>
    </xf>
    <xf numFmtId="3" fontId="53" fillId="0" borderId="60" xfId="105" applyNumberFormat="1" applyFont="1" applyFill="1" applyBorder="1" applyAlignment="1" applyProtection="1">
      <alignment horizontal="left" vertical="center" indent="1"/>
      <protection/>
    </xf>
    <xf numFmtId="3" fontId="53" fillId="0" borderId="37" xfId="105" applyNumberFormat="1" applyFont="1" applyFill="1" applyBorder="1" applyAlignment="1" applyProtection="1">
      <alignment horizontal="left" vertical="center" indent="1"/>
      <protection/>
    </xf>
    <xf numFmtId="3" fontId="53" fillId="0" borderId="50" xfId="105" applyNumberFormat="1" applyFont="1" applyFill="1" applyBorder="1" applyAlignment="1" applyProtection="1">
      <alignment horizontal="left" vertical="center" indent="1"/>
      <protection/>
    </xf>
    <xf numFmtId="3" fontId="75" fillId="0" borderId="0" xfId="105" applyNumberFormat="1" applyFont="1" applyFill="1" applyAlignment="1" applyProtection="1">
      <alignment horizontal="right"/>
      <protection locked="0"/>
    </xf>
    <xf numFmtId="10" fontId="1" fillId="0" borderId="27" xfId="101" applyNumberFormat="1" applyFont="1" applyBorder="1" applyAlignment="1">
      <alignment horizontal="center"/>
      <protection/>
    </xf>
    <xf numFmtId="10" fontId="1" fillId="0" borderId="52" xfId="101" applyNumberFormat="1" applyFont="1" applyBorder="1" applyAlignment="1">
      <alignment horizontal="center"/>
      <protection/>
    </xf>
    <xf numFmtId="10" fontId="1" fillId="0" borderId="51" xfId="101" applyNumberFormat="1" applyFont="1" applyBorder="1" applyAlignment="1">
      <alignment horizontal="center"/>
      <protection/>
    </xf>
    <xf numFmtId="10" fontId="58" fillId="0" borderId="38" xfId="101" applyNumberFormat="1" applyFont="1" applyBorder="1" applyAlignment="1">
      <alignment horizontal="center"/>
      <protection/>
    </xf>
    <xf numFmtId="10" fontId="58" fillId="0" borderId="51" xfId="101" applyNumberFormat="1" applyFont="1" applyBorder="1" applyAlignment="1">
      <alignment horizontal="center"/>
      <protection/>
    </xf>
    <xf numFmtId="10" fontId="58" fillId="0" borderId="38" xfId="101" applyNumberFormat="1" applyFont="1" applyFill="1" applyBorder="1" applyAlignment="1">
      <alignment horizontal="center"/>
      <protection/>
    </xf>
    <xf numFmtId="10" fontId="58" fillId="0" borderId="52" xfId="101" applyNumberFormat="1" applyFont="1" applyFill="1" applyBorder="1" applyAlignment="1">
      <alignment horizontal="center"/>
      <protection/>
    </xf>
    <xf numFmtId="10" fontId="58" fillId="0" borderId="51" xfId="101" applyNumberFormat="1" applyFont="1" applyFill="1" applyBorder="1" applyAlignment="1">
      <alignment horizontal="center"/>
      <protection/>
    </xf>
    <xf numFmtId="0" fontId="23" fillId="0" borderId="0" xfId="101" applyFont="1" applyFill="1" applyBorder="1" applyAlignment="1" applyProtection="1">
      <alignment horizontal="center" vertical="center" wrapText="1"/>
      <protection/>
    </xf>
    <xf numFmtId="0" fontId="76" fillId="0" borderId="0" xfId="101" applyFont="1" applyFill="1" applyAlignment="1">
      <alignment horizontal="right" vertical="center"/>
      <protection/>
    </xf>
    <xf numFmtId="0" fontId="76" fillId="0" borderId="54" xfId="101" applyFont="1" applyFill="1" applyBorder="1" applyAlignment="1">
      <alignment horizontal="right"/>
      <protection/>
    </xf>
    <xf numFmtId="169" fontId="51" fillId="0" borderId="55" xfId="97" applyNumberFormat="1" applyFont="1" applyBorder="1" applyAlignment="1">
      <alignment horizontal="center" textRotation="180" wrapText="1"/>
      <protection/>
    </xf>
    <xf numFmtId="169" fontId="42" fillId="0" borderId="30" xfId="97" applyNumberFormat="1" applyFont="1" applyBorder="1" applyAlignment="1">
      <alignment horizontal="left" vertical="center" wrapText="1" indent="2"/>
      <protection/>
    </xf>
    <xf numFmtId="169" fontId="42" fillId="0" borderId="50" xfId="97" applyNumberFormat="1" applyFont="1" applyBorder="1" applyAlignment="1">
      <alignment horizontal="left" vertical="center" wrapText="1" indent="2"/>
      <protection/>
    </xf>
    <xf numFmtId="169" fontId="39" fillId="0" borderId="0" xfId="97" applyNumberFormat="1" applyFont="1" applyAlignment="1">
      <alignment horizontal="center" vertical="center" wrapText="1"/>
      <protection/>
    </xf>
    <xf numFmtId="169" fontId="42" fillId="0" borderId="107" xfId="97" applyNumberFormat="1" applyFont="1" applyBorder="1" applyAlignment="1">
      <alignment horizontal="center" vertical="center" wrapText="1"/>
      <protection/>
    </xf>
    <xf numFmtId="169" fontId="42" fillId="0" borderId="108" xfId="97" applyNumberFormat="1" applyFont="1" applyBorder="1" applyAlignment="1">
      <alignment horizontal="center" vertical="center" wrapText="1"/>
      <protection/>
    </xf>
    <xf numFmtId="169" fontId="42" fillId="0" borderId="107" xfId="97" applyNumberFormat="1" applyFont="1" applyBorder="1" applyAlignment="1">
      <alignment horizontal="center" vertical="center"/>
      <protection/>
    </xf>
    <xf numFmtId="169" fontId="42" fillId="0" borderId="108" xfId="97" applyNumberFormat="1" applyFont="1" applyBorder="1" applyAlignment="1">
      <alignment horizontal="center" vertical="center"/>
      <protection/>
    </xf>
    <xf numFmtId="49" fontId="42" fillId="0" borderId="107" xfId="97" applyNumberFormat="1" applyFont="1" applyBorder="1" applyAlignment="1">
      <alignment horizontal="center" vertical="center" wrapText="1"/>
      <protection/>
    </xf>
    <xf numFmtId="49" fontId="42" fillId="0" borderId="108" xfId="97" applyNumberFormat="1" applyFont="1" applyBorder="1" applyAlignment="1">
      <alignment horizontal="center" vertical="center" wrapText="1"/>
      <protection/>
    </xf>
    <xf numFmtId="169" fontId="42" fillId="0" borderId="78" xfId="97" applyNumberFormat="1" applyFont="1" applyBorder="1" applyAlignment="1">
      <alignment horizontal="center" vertical="center"/>
      <protection/>
    </xf>
    <xf numFmtId="169" fontId="42" fillId="0" borderId="53" xfId="97" applyNumberFormat="1" applyFont="1" applyBorder="1" applyAlignment="1">
      <alignment horizontal="center" vertical="center"/>
      <protection/>
    </xf>
    <xf numFmtId="169" fontId="42" fillId="0" borderId="100" xfId="97" applyNumberFormat="1" applyFont="1" applyBorder="1" applyAlignment="1">
      <alignment horizontal="center" vertical="center"/>
      <protection/>
    </xf>
    <xf numFmtId="169" fontId="55" fillId="0" borderId="0" xfId="0" applyNumberFormat="1" applyFont="1" applyFill="1" applyAlignment="1">
      <alignment horizontal="right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</cellXfs>
  <cellStyles count="10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2007. év költségvetés terv 1.mellékletek" xfId="102"/>
    <cellStyle name="Normál_Dologi kiadás" xfId="103"/>
    <cellStyle name="Normál_KVRENMUNKA" xfId="104"/>
    <cellStyle name="Normál_SEGEDLETEK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20\Beled\K&#246;lts&#233;gvet&#233;s\K&#246;lts&#233;gvet&#233;s%20K&#246;z&#246;s%20Hivatal_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20\Beled\B&#193;MK\-%20B&#193;MK%20k&#246;lts&#233;gvet&#233;s%202020%20Ren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19\Beled\K&#246;lts&#233;gvet&#233;si%20rendelet%20m&#243;dos&#237;t&#225;sa\M&#243;d.%20IV\1-18.%20szamu%20melleklet%20m&#243;dosst&#243;%20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nyelésre"/>
      <sheetName val="előirányzat forintban"/>
      <sheetName val="Beled Közös Hiv."/>
      <sheetName val="Munka1"/>
    </sheetNames>
    <sheetDataSet>
      <sheetData sheetId="2">
        <row r="6">
          <cell r="B6" t="str">
            <v>Informatikai eszközök létesítése (nagyértékű)</v>
          </cell>
        </row>
        <row r="11">
          <cell r="B11" t="str">
            <v>Egyéb berendezések beszerzése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nyvelésre kerekített"/>
      <sheetName val="könyvelésre"/>
      <sheetName val="ne írd át összeső1"/>
      <sheetName val="ne írd át összesítő"/>
      <sheetName val="Beled óvoda"/>
      <sheetName val="tornacsarnok"/>
      <sheetName val="művház"/>
      <sheetName val="könyvtár"/>
      <sheetName val="int. étkezés bölcsőde"/>
      <sheetName val="munkahelyi és egyéb vendéglátás"/>
      <sheetName val="bölcsőde"/>
      <sheetName val="intézményi étkezés óvoda"/>
      <sheetName val="int. étkezés iskola"/>
      <sheetName val="előlap"/>
    </sheetNames>
    <sheetDataSet>
      <sheetData sheetId="4">
        <row r="149">
          <cell r="B149" t="str">
            <v>ágvágó, sövénynyíró</v>
          </cell>
        </row>
        <row r="151">
          <cell r="B151" t="str">
            <v>iratmegsemmisítő, szőnyegtisztító gép</v>
          </cell>
        </row>
        <row r="152">
          <cell r="B152" t="str">
            <v>udvari asztal, padok, tranbulin, napernyők</v>
          </cell>
        </row>
      </sheetData>
      <sheetData sheetId="6">
        <row r="131">
          <cell r="B131" t="str">
            <v>mosógép, porszívó, állófogasok 2 db</v>
          </cell>
        </row>
      </sheetData>
      <sheetData sheetId="10">
        <row r="81">
          <cell r="C81" t="str">
            <v>Homoktakaró , baby taxi, trambulin</v>
          </cell>
        </row>
        <row r="82">
          <cell r="C82" t="str">
            <v>mikrohullámú sütő</v>
          </cell>
        </row>
        <row r="83">
          <cell r="C83" t="str">
            <v>benti csúszda</v>
          </cell>
        </row>
      </sheetData>
      <sheetData sheetId="11">
        <row r="5">
          <cell r="B5" t="str">
            <v>3 részes légkeveréses sütő</v>
          </cell>
        </row>
        <row r="6">
          <cell r="B6" t="str">
            <v>400 literes fagyasztó láda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.1 sz. m Köz Hiv"/>
      <sheetName val="5.2 sz. m ÁMK"/>
      <sheetName val="6 .sz.m. Létszám (2)"/>
      <sheetName val="7.a.sz.m.fejlesztés (4)"/>
      <sheetName val="7.b.sz.m.intfejl (2)"/>
      <sheetName val="8.sz.m.Dologi kiadás (3)"/>
      <sheetName val="9.sz.m.szociális kiadások (2)"/>
      <sheetName val="10.sz.m.átadott pe (3)"/>
      <sheetName val="11. sz adósság kötelezettség"/>
      <sheetName val="12. saját bevételek"/>
      <sheetName val="13. sz.m. előir felh terv"/>
      <sheetName val="14.sz.m. állami támogatás "/>
      <sheetName val="15.sz.m.többéves kihatás"/>
      <sheetName val="16. sz. m. EU "/>
      <sheetName val="üres lap"/>
    </sheetNames>
    <sheetDataSet>
      <sheetData sheetId="8">
        <row r="47">
          <cell r="B47" t="str">
            <v>MFP - Egészségház felújítása</v>
          </cell>
        </row>
        <row r="49">
          <cell r="B49" t="str">
            <v>MFP útfelújítás</v>
          </cell>
        </row>
        <row r="50">
          <cell r="B50" t="str">
            <v>MFP óvodaudvar - kerítésfelújítás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4"/>
  <sheetViews>
    <sheetView zoomScale="70" zoomScaleNormal="70" workbookViewId="0" topLeftCell="A52">
      <selection activeCell="AA3" sqref="AA3"/>
    </sheetView>
  </sheetViews>
  <sheetFormatPr defaultColWidth="9.140625" defaultRowHeight="12.75"/>
  <cols>
    <col min="1" max="2" width="5.7109375" style="57" customWidth="1"/>
    <col min="3" max="3" width="8.8515625" style="57" customWidth="1"/>
    <col min="4" max="4" width="61.7109375" style="15" customWidth="1"/>
    <col min="5" max="5" width="24.28125" style="264" customWidth="1"/>
    <col min="6" max="8" width="20.00390625" style="264" customWidth="1"/>
    <col min="9" max="10" width="20.00390625" style="264" hidden="1" customWidth="1"/>
    <col min="11" max="14" width="20.00390625" style="265" customWidth="1"/>
    <col min="15" max="17" width="20.00390625" style="265" hidden="1" customWidth="1"/>
    <col min="18" max="18" width="20.00390625" style="266" customWidth="1"/>
    <col min="19" max="21" width="20.00390625" style="265" customWidth="1"/>
    <col min="22" max="23" width="20.00390625" style="266" hidden="1" customWidth="1"/>
    <col min="24" max="27" width="20.00390625" style="266" customWidth="1"/>
    <col min="28" max="30" width="20.00390625" style="266" hidden="1" customWidth="1"/>
    <col min="31" max="31" width="20.00390625" style="266" customWidth="1"/>
    <col min="32" max="16384" width="9.140625" style="266" customWidth="1"/>
  </cols>
  <sheetData>
    <row r="1" spans="1:28" ht="12.75">
      <c r="A1" s="54"/>
      <c r="B1" s="54"/>
      <c r="C1" s="54"/>
      <c r="D1" s="55"/>
      <c r="O1" s="1312" t="s">
        <v>537</v>
      </c>
      <c r="P1" s="1313"/>
      <c r="Q1" s="1313"/>
      <c r="R1" s="1313"/>
      <c r="S1" s="1313"/>
      <c r="T1" s="1313"/>
      <c r="U1" s="1313"/>
      <c r="V1" s="1313"/>
      <c r="W1" s="1313"/>
      <c r="X1" s="1313"/>
      <c r="Y1" s="1313"/>
      <c r="Z1" s="1313"/>
      <c r="AA1" s="1313"/>
      <c r="AB1" s="1313"/>
    </row>
    <row r="2" spans="1:28" ht="12.75">
      <c r="A2" s="54"/>
      <c r="B2" s="54"/>
      <c r="C2" s="54"/>
      <c r="D2" s="55"/>
      <c r="O2" s="1122"/>
      <c r="P2" s="1123"/>
      <c r="Q2" s="1123"/>
      <c r="R2" s="1123"/>
      <c r="S2" s="1123"/>
      <c r="T2" s="1123"/>
      <c r="U2" s="1123"/>
      <c r="V2" s="1123"/>
      <c r="W2" s="1123"/>
      <c r="X2" s="1123"/>
      <c r="Y2" s="1123"/>
      <c r="Z2" s="1123"/>
      <c r="AA2" s="1122" t="s">
        <v>651</v>
      </c>
      <c r="AB2" s="1123"/>
    </row>
    <row r="3" spans="1:21" s="268" customFormat="1" ht="34.5" customHeight="1">
      <c r="A3" s="1293" t="s">
        <v>552</v>
      </c>
      <c r="B3" s="1293"/>
      <c r="C3" s="1293"/>
      <c r="D3" s="1293"/>
      <c r="E3" s="1293"/>
      <c r="F3" s="1293"/>
      <c r="G3" s="1293"/>
      <c r="H3" s="1293"/>
      <c r="I3" s="1293"/>
      <c r="J3" s="1293"/>
      <c r="K3" s="1293"/>
      <c r="L3" s="1293"/>
      <c r="M3" s="1293"/>
      <c r="N3" s="1293"/>
      <c r="O3" s="1293"/>
      <c r="P3" s="1293"/>
      <c r="Q3" s="1293"/>
      <c r="R3" s="1293"/>
      <c r="S3" s="196"/>
      <c r="T3" s="267"/>
      <c r="U3" s="267"/>
    </row>
    <row r="4" spans="1:18" ht="13.5" thickBot="1">
      <c r="A4" s="56"/>
      <c r="B4" s="56"/>
      <c r="C4" s="56"/>
      <c r="D4" s="52"/>
      <c r="K4" s="43"/>
      <c r="L4" s="43"/>
      <c r="M4" s="43"/>
      <c r="N4" s="43"/>
      <c r="O4" s="43"/>
      <c r="P4" s="43"/>
      <c r="Q4" s="43"/>
      <c r="R4" s="19" t="s">
        <v>425</v>
      </c>
    </row>
    <row r="5" spans="1:30" ht="45.75" customHeight="1" thickBot="1">
      <c r="A5" s="1294" t="s">
        <v>5</v>
      </c>
      <c r="B5" s="1295"/>
      <c r="C5" s="1295"/>
      <c r="D5" s="269" t="s">
        <v>8</v>
      </c>
      <c r="E5" s="1297" t="s">
        <v>4</v>
      </c>
      <c r="F5" s="1298"/>
      <c r="G5" s="1298"/>
      <c r="H5" s="1298"/>
      <c r="I5" s="1298"/>
      <c r="J5" s="1299"/>
      <c r="K5" s="1297" t="s">
        <v>58</v>
      </c>
      <c r="L5" s="1298"/>
      <c r="M5" s="1298"/>
      <c r="N5" s="1298"/>
      <c r="O5" s="1298"/>
      <c r="P5" s="1298"/>
      <c r="Q5" s="1299"/>
      <c r="R5" s="1297" t="s">
        <v>59</v>
      </c>
      <c r="S5" s="1298"/>
      <c r="T5" s="1298"/>
      <c r="U5" s="1298"/>
      <c r="V5" s="1298"/>
      <c r="W5" s="1299"/>
      <c r="X5" s="1297" t="s">
        <v>63</v>
      </c>
      <c r="Y5" s="1298"/>
      <c r="Z5" s="1298"/>
      <c r="AA5" s="1298"/>
      <c r="AB5" s="1298"/>
      <c r="AC5" s="1298"/>
      <c r="AD5" s="1299"/>
    </row>
    <row r="6" spans="1:30" ht="45.75" customHeight="1" thickBot="1">
      <c r="A6" s="251"/>
      <c r="B6" s="252"/>
      <c r="C6" s="252"/>
      <c r="D6" s="269"/>
      <c r="E6" s="303" t="s">
        <v>62</v>
      </c>
      <c r="F6" s="304" t="s">
        <v>214</v>
      </c>
      <c r="G6" s="304" t="s">
        <v>219</v>
      </c>
      <c r="H6" s="304" t="s">
        <v>221</v>
      </c>
      <c r="I6" s="304" t="s">
        <v>415</v>
      </c>
      <c r="J6" s="305" t="s">
        <v>419</v>
      </c>
      <c r="K6" s="303" t="s">
        <v>62</v>
      </c>
      <c r="L6" s="304" t="s">
        <v>214</v>
      </c>
      <c r="M6" s="304" t="s">
        <v>219</v>
      </c>
      <c r="N6" s="304" t="s">
        <v>221</v>
      </c>
      <c r="O6" s="304" t="s">
        <v>415</v>
      </c>
      <c r="P6" s="304" t="s">
        <v>419</v>
      </c>
      <c r="Q6" s="305" t="s">
        <v>414</v>
      </c>
      <c r="R6" s="303" t="s">
        <v>62</v>
      </c>
      <c r="S6" s="304" t="s">
        <v>214</v>
      </c>
      <c r="T6" s="304" t="s">
        <v>219</v>
      </c>
      <c r="U6" s="304" t="s">
        <v>221</v>
      </c>
      <c r="V6" s="304" t="s">
        <v>415</v>
      </c>
      <c r="W6" s="305" t="s">
        <v>419</v>
      </c>
      <c r="X6" s="303" t="s">
        <v>62</v>
      </c>
      <c r="Y6" s="304" t="s">
        <v>214</v>
      </c>
      <c r="Z6" s="304" t="s">
        <v>219</v>
      </c>
      <c r="AA6" s="304" t="s">
        <v>221</v>
      </c>
      <c r="AB6" s="304" t="s">
        <v>415</v>
      </c>
      <c r="AC6" s="304" t="s">
        <v>419</v>
      </c>
      <c r="AD6" s="1143"/>
    </row>
    <row r="7" spans="1:30" s="7" customFormat="1" ht="21.75" customHeight="1" thickBot="1">
      <c r="A7" s="67"/>
      <c r="B7" s="1296"/>
      <c r="C7" s="1296"/>
      <c r="D7" s="1296"/>
      <c r="E7" s="306"/>
      <c r="F7" s="235"/>
      <c r="G7" s="235"/>
      <c r="H7" s="235"/>
      <c r="I7" s="235"/>
      <c r="J7" s="650"/>
      <c r="K7" s="306"/>
      <c r="L7" s="235"/>
      <c r="M7" s="235"/>
      <c r="N7" s="235"/>
      <c r="O7" s="235"/>
      <c r="P7" s="235"/>
      <c r="Q7" s="650"/>
      <c r="R7" s="306"/>
      <c r="S7" s="235"/>
      <c r="T7" s="235"/>
      <c r="U7" s="235"/>
      <c r="V7" s="235"/>
      <c r="W7" s="650"/>
      <c r="X7" s="306"/>
      <c r="Y7" s="235"/>
      <c r="Z7" s="235"/>
      <c r="AA7" s="235"/>
      <c r="AB7" s="1144"/>
      <c r="AC7" s="235"/>
      <c r="AD7" s="1145"/>
    </row>
    <row r="8" spans="1:31" s="7" customFormat="1" ht="21.75" customHeight="1" thickBot="1">
      <c r="A8" s="67" t="s">
        <v>26</v>
      </c>
      <c r="B8" s="1296" t="s">
        <v>267</v>
      </c>
      <c r="C8" s="1296"/>
      <c r="D8" s="1296"/>
      <c r="E8" s="306">
        <f aca="true" t="shared" si="0" ref="E8:P8">E9+E14+E17+E18+E21</f>
        <v>219910000</v>
      </c>
      <c r="F8" s="235">
        <f t="shared" si="0"/>
        <v>206228365</v>
      </c>
      <c r="G8" s="235">
        <f t="shared" si="0"/>
        <v>206228365</v>
      </c>
      <c r="H8" s="235">
        <f>H9+H14+H17+H18+H21</f>
        <v>210825770</v>
      </c>
      <c r="I8" s="235">
        <f t="shared" si="0"/>
        <v>0</v>
      </c>
      <c r="J8" s="235">
        <f t="shared" si="0"/>
        <v>0</v>
      </c>
      <c r="K8" s="306">
        <f t="shared" si="0"/>
        <v>205233131</v>
      </c>
      <c r="L8" s="235">
        <f>L9+L14+L17+L18+L21</f>
        <v>183591717</v>
      </c>
      <c r="M8" s="235">
        <f>M9+M14+M17+M18+M21</f>
        <v>183591717</v>
      </c>
      <c r="N8" s="235">
        <f>N9+N14+N17+N18+N21</f>
        <v>192863718</v>
      </c>
      <c r="O8" s="235">
        <f t="shared" si="0"/>
        <v>-18884537</v>
      </c>
      <c r="P8" s="235">
        <f t="shared" si="0"/>
        <v>-19769631</v>
      </c>
      <c r="Q8" s="651">
        <f>P8/N8</f>
        <v>-0.10250570301667626</v>
      </c>
      <c r="R8" s="306">
        <f aca="true" t="shared" si="1" ref="R8:W8">R9+R14+R17+R18+R21</f>
        <v>14676869</v>
      </c>
      <c r="S8" s="235">
        <f>S9+S14+S17+S18+S21</f>
        <v>22636648</v>
      </c>
      <c r="T8" s="235">
        <f>T9+T14+T17+T18+T21</f>
        <v>22636648</v>
      </c>
      <c r="U8" s="235">
        <f>U9+U14+U17+U18+U21</f>
        <v>17962052</v>
      </c>
      <c r="V8" s="235">
        <f t="shared" si="1"/>
        <v>18884537</v>
      </c>
      <c r="W8" s="650">
        <f t="shared" si="1"/>
        <v>19769631</v>
      </c>
      <c r="X8" s="306">
        <f aca="true" t="shared" si="2" ref="X8:AD8">X9+X14+X17+X18+X21</f>
        <v>7923383</v>
      </c>
      <c r="Y8" s="235">
        <f>Y9+Y14+Y17+Y18+Y21</f>
        <v>7923383</v>
      </c>
      <c r="Z8" s="235">
        <f>Z9+Z14+Z17+Z18+Z21</f>
        <v>7923383</v>
      </c>
      <c r="AA8" s="235">
        <f>AA9+AA14+AA17+AA18+AA21</f>
        <v>7923383</v>
      </c>
      <c r="AB8" s="235">
        <f t="shared" si="2"/>
        <v>5610894</v>
      </c>
      <c r="AC8" s="235">
        <f t="shared" si="2"/>
        <v>5610894</v>
      </c>
      <c r="AD8" s="650">
        <f t="shared" si="2"/>
        <v>5610894</v>
      </c>
      <c r="AE8" s="950"/>
    </row>
    <row r="9" spans="1:31" ht="21.75" customHeight="1">
      <c r="A9" s="529"/>
      <c r="B9" s="198" t="s">
        <v>34</v>
      </c>
      <c r="C9" s="1314" t="s">
        <v>268</v>
      </c>
      <c r="D9" s="1314"/>
      <c r="E9" s="377">
        <f aca="true" t="shared" si="3" ref="E9:P9">SUM(E10:E13)</f>
        <v>19350000</v>
      </c>
      <c r="F9" s="378">
        <f t="shared" si="3"/>
        <v>19350000</v>
      </c>
      <c r="G9" s="378">
        <f t="shared" si="3"/>
        <v>19350000</v>
      </c>
      <c r="H9" s="378">
        <f>SUM(H10:H13)</f>
        <v>20155482</v>
      </c>
      <c r="I9" s="378">
        <f t="shared" si="3"/>
        <v>0</v>
      </c>
      <c r="J9" s="378">
        <f t="shared" si="3"/>
        <v>0</v>
      </c>
      <c r="K9" s="377">
        <f t="shared" si="3"/>
        <v>19350000</v>
      </c>
      <c r="L9" s="378">
        <f>SUM(L10:L13)</f>
        <v>19350000</v>
      </c>
      <c r="M9" s="378">
        <f>SUM(M10:M13)</f>
        <v>19350000</v>
      </c>
      <c r="N9" s="378">
        <f>SUM(N10:N13)</f>
        <v>20155482</v>
      </c>
      <c r="O9" s="378">
        <f t="shared" si="3"/>
        <v>0</v>
      </c>
      <c r="P9" s="378">
        <f t="shared" si="3"/>
        <v>0</v>
      </c>
      <c r="Q9" s="652">
        <f>P9/N9</f>
        <v>0</v>
      </c>
      <c r="R9" s="377">
        <v>0</v>
      </c>
      <c r="S9" s="378">
        <v>0</v>
      </c>
      <c r="T9" s="378">
        <v>0</v>
      </c>
      <c r="U9" s="378">
        <v>0</v>
      </c>
      <c r="V9" s="378"/>
      <c r="W9" s="1141"/>
      <c r="X9" s="377">
        <v>0</v>
      </c>
      <c r="Y9" s="378">
        <v>0</v>
      </c>
      <c r="Z9" s="378">
        <v>0</v>
      </c>
      <c r="AA9" s="378">
        <v>0</v>
      </c>
      <c r="AB9" s="378">
        <v>0</v>
      </c>
      <c r="AC9" s="378">
        <v>0</v>
      </c>
      <c r="AD9" s="1141">
        <v>0</v>
      </c>
      <c r="AE9" s="950"/>
    </row>
    <row r="10" spans="1:31" ht="21.75" customHeight="1">
      <c r="A10" s="64"/>
      <c r="B10" s="60"/>
      <c r="C10" s="60" t="s">
        <v>273</v>
      </c>
      <c r="D10" s="270" t="s">
        <v>269</v>
      </c>
      <c r="E10" s="308">
        <f>'3.sz.m Önk  bev.'!E10</f>
        <v>0</v>
      </c>
      <c r="F10" s="237">
        <f>'3.sz.m Önk  bev.'!F10</f>
        <v>0</v>
      </c>
      <c r="G10" s="237">
        <f>'3.sz.m Önk  bev.'!G10</f>
        <v>0</v>
      </c>
      <c r="H10" s="237">
        <f>'3.sz.m Önk  bev.'!H10</f>
        <v>0</v>
      </c>
      <c r="I10" s="237">
        <f>'3.sz.m Önk  bev.'!I10</f>
        <v>0</v>
      </c>
      <c r="J10" s="237">
        <f>'3.sz.m Önk  bev.'!J10</f>
        <v>0</v>
      </c>
      <c r="K10" s="308">
        <f>'3.sz.m Önk  bev.'!L10</f>
        <v>0</v>
      </c>
      <c r="L10" s="237">
        <f>'3.sz.m Önk  bev.'!M10</f>
        <v>0</v>
      </c>
      <c r="M10" s="237">
        <f>'3.sz.m Önk  bev.'!N10</f>
        <v>0</v>
      </c>
      <c r="N10" s="237">
        <f>'3.sz.m Önk  bev.'!O10</f>
        <v>0</v>
      </c>
      <c r="O10" s="237">
        <f>'3.sz.m Önk  bev.'!P10</f>
        <v>0</v>
      </c>
      <c r="P10" s="237">
        <f>'3.sz.m Önk  bev.'!Q10</f>
        <v>0</v>
      </c>
      <c r="Q10" s="653"/>
      <c r="R10" s="308">
        <v>0</v>
      </c>
      <c r="S10" s="237">
        <v>0</v>
      </c>
      <c r="T10" s="237">
        <v>0</v>
      </c>
      <c r="U10" s="237">
        <v>0</v>
      </c>
      <c r="V10" s="237"/>
      <c r="W10" s="825"/>
      <c r="X10" s="308">
        <v>0</v>
      </c>
      <c r="Y10" s="237">
        <v>0</v>
      </c>
      <c r="Z10" s="237">
        <v>0</v>
      </c>
      <c r="AA10" s="237">
        <v>0</v>
      </c>
      <c r="AB10" s="237">
        <v>0</v>
      </c>
      <c r="AC10" s="237">
        <v>0</v>
      </c>
      <c r="AD10" s="825">
        <v>0</v>
      </c>
      <c r="AE10" s="950"/>
    </row>
    <row r="11" spans="1:31" ht="21.75" customHeight="1">
      <c r="A11" s="64"/>
      <c r="B11" s="60"/>
      <c r="C11" s="60" t="s">
        <v>274</v>
      </c>
      <c r="D11" s="270" t="s">
        <v>254</v>
      </c>
      <c r="E11" s="308">
        <f>'3.sz.m Önk  bev.'!E11</f>
        <v>0</v>
      </c>
      <c r="F11" s="237">
        <f>'3.sz.m Önk  bev.'!F11</f>
        <v>0</v>
      </c>
      <c r="G11" s="237">
        <f>'3.sz.m Önk  bev.'!G11</f>
        <v>0</v>
      </c>
      <c r="H11" s="237">
        <f>'3.sz.m Önk  bev.'!H11</f>
        <v>0</v>
      </c>
      <c r="I11" s="237">
        <f>'3.sz.m Önk  bev.'!I11</f>
        <v>0</v>
      </c>
      <c r="J11" s="237">
        <f>'3.sz.m Önk  bev.'!J11</f>
        <v>0</v>
      </c>
      <c r="K11" s="308">
        <f>'3.sz.m Önk  bev.'!L11</f>
        <v>0</v>
      </c>
      <c r="L11" s="237">
        <f>'3.sz.m Önk  bev.'!M11</f>
        <v>0</v>
      </c>
      <c r="M11" s="237">
        <f>'3.sz.m Önk  bev.'!N11</f>
        <v>0</v>
      </c>
      <c r="N11" s="237">
        <f>'3.sz.m Önk  bev.'!O11</f>
        <v>0</v>
      </c>
      <c r="O11" s="237">
        <f>'3.sz.m Önk  bev.'!P11</f>
        <v>0</v>
      </c>
      <c r="P11" s="237">
        <f>'3.sz.m Önk  bev.'!Q11</f>
        <v>0</v>
      </c>
      <c r="Q11" s="653"/>
      <c r="R11" s="308">
        <v>0</v>
      </c>
      <c r="S11" s="237">
        <v>0</v>
      </c>
      <c r="T11" s="237">
        <v>0</v>
      </c>
      <c r="U11" s="237">
        <v>0</v>
      </c>
      <c r="V11" s="237"/>
      <c r="W11" s="825"/>
      <c r="X11" s="308">
        <v>0</v>
      </c>
      <c r="Y11" s="237">
        <v>0</v>
      </c>
      <c r="Z11" s="237">
        <v>0</v>
      </c>
      <c r="AA11" s="237">
        <v>0</v>
      </c>
      <c r="AB11" s="237">
        <v>0</v>
      </c>
      <c r="AC11" s="237">
        <v>0</v>
      </c>
      <c r="AD11" s="825">
        <v>0</v>
      </c>
      <c r="AE11" s="950"/>
    </row>
    <row r="12" spans="1:31" ht="21.75" customHeight="1">
      <c r="A12" s="64"/>
      <c r="B12" s="60"/>
      <c r="C12" s="60" t="s">
        <v>275</v>
      </c>
      <c r="D12" s="270" t="s">
        <v>253</v>
      </c>
      <c r="E12" s="308">
        <f>'3.sz.m Önk  bev.'!E12</f>
        <v>19350000</v>
      </c>
      <c r="F12" s="237">
        <f>'3.sz.m Önk  bev.'!F12</f>
        <v>19350000</v>
      </c>
      <c r="G12" s="237">
        <f>'3.sz.m Önk  bev.'!G12</f>
        <v>19350000</v>
      </c>
      <c r="H12" s="237">
        <f>'3.sz.m Önk  bev.'!H12</f>
        <v>20155482</v>
      </c>
      <c r="I12" s="237">
        <f>'3.sz.m Önk  bev.'!I12</f>
        <v>0</v>
      </c>
      <c r="J12" s="237">
        <f>'3.sz.m Önk  bev.'!J12</f>
        <v>0</v>
      </c>
      <c r="K12" s="308">
        <f>'3.sz.m Önk  bev.'!L12</f>
        <v>19350000</v>
      </c>
      <c r="L12" s="237">
        <f>'3.sz.m Önk  bev.'!M12</f>
        <v>19350000</v>
      </c>
      <c r="M12" s="237">
        <f>'3.sz.m Önk  bev.'!N12</f>
        <v>19350000</v>
      </c>
      <c r="N12" s="237">
        <f>'3.sz.m Önk  bev.'!O12</f>
        <v>20155482</v>
      </c>
      <c r="O12" s="237">
        <f>'3.sz.m Önk  bev.'!P12</f>
        <v>0</v>
      </c>
      <c r="P12" s="237">
        <f>'3.sz.m Önk  bev.'!Q12</f>
        <v>0</v>
      </c>
      <c r="Q12" s="653">
        <f aca="true" t="shared" si="4" ref="Q12:Q65">P12/N12</f>
        <v>0</v>
      </c>
      <c r="R12" s="308">
        <v>0</v>
      </c>
      <c r="S12" s="237">
        <v>0</v>
      </c>
      <c r="T12" s="237">
        <v>0</v>
      </c>
      <c r="U12" s="237">
        <v>0</v>
      </c>
      <c r="V12" s="237"/>
      <c r="W12" s="825"/>
      <c r="X12" s="308">
        <v>0</v>
      </c>
      <c r="Y12" s="237">
        <v>0</v>
      </c>
      <c r="Z12" s="237">
        <v>0</v>
      </c>
      <c r="AA12" s="237">
        <v>0</v>
      </c>
      <c r="AB12" s="237">
        <v>0</v>
      </c>
      <c r="AC12" s="237">
        <v>0</v>
      </c>
      <c r="AD12" s="825">
        <v>0</v>
      </c>
      <c r="AE12" s="950"/>
    </row>
    <row r="13" spans="1:33" ht="21.75" customHeight="1" hidden="1">
      <c r="A13" s="64"/>
      <c r="B13" s="60"/>
      <c r="C13" s="60"/>
      <c r="D13" s="270"/>
      <c r="E13" s="308"/>
      <c r="F13" s="237"/>
      <c r="G13" s="237"/>
      <c r="H13" s="237"/>
      <c r="I13" s="237"/>
      <c r="J13" s="237"/>
      <c r="K13" s="308"/>
      <c r="L13" s="237"/>
      <c r="M13" s="237"/>
      <c r="N13" s="237"/>
      <c r="O13" s="237"/>
      <c r="P13" s="237"/>
      <c r="Q13" s="653" t="e">
        <f t="shared" si="4"/>
        <v>#DIV/0!</v>
      </c>
      <c r="R13" s="308"/>
      <c r="S13" s="237"/>
      <c r="T13" s="237"/>
      <c r="U13" s="237"/>
      <c r="V13" s="237"/>
      <c r="W13" s="825"/>
      <c r="X13" s="308"/>
      <c r="Y13" s="237"/>
      <c r="Z13" s="237"/>
      <c r="AA13" s="237"/>
      <c r="AB13" s="237"/>
      <c r="AC13" s="237"/>
      <c r="AD13" s="825"/>
      <c r="AE13" s="950"/>
      <c r="AG13" s="266" t="s">
        <v>230</v>
      </c>
    </row>
    <row r="14" spans="1:31" ht="21.75" customHeight="1">
      <c r="A14" s="64"/>
      <c r="B14" s="60" t="s">
        <v>35</v>
      </c>
      <c r="C14" s="1300" t="s">
        <v>270</v>
      </c>
      <c r="D14" s="1300"/>
      <c r="E14" s="308">
        <f aca="true" t="shared" si="5" ref="E14:X14">SUM(E15:E16)</f>
        <v>185000000</v>
      </c>
      <c r="F14" s="237">
        <f t="shared" si="5"/>
        <v>185000000</v>
      </c>
      <c r="G14" s="237">
        <f t="shared" si="5"/>
        <v>185000000</v>
      </c>
      <c r="H14" s="237">
        <f>SUM(H15:H16)</f>
        <v>186935256</v>
      </c>
      <c r="I14" s="237">
        <f t="shared" si="5"/>
        <v>0</v>
      </c>
      <c r="J14" s="237">
        <f t="shared" si="5"/>
        <v>0</v>
      </c>
      <c r="K14" s="308">
        <f t="shared" si="5"/>
        <v>170323131</v>
      </c>
      <c r="L14" s="237">
        <f>SUM(L15:L16)</f>
        <v>162363352</v>
      </c>
      <c r="M14" s="237">
        <f>SUM(M15:M16)</f>
        <v>162363352</v>
      </c>
      <c r="N14" s="237">
        <f>SUM(N15:N16)</f>
        <v>168973204</v>
      </c>
      <c r="O14" s="237">
        <f t="shared" si="5"/>
        <v>-18884537</v>
      </c>
      <c r="P14" s="237">
        <f t="shared" si="5"/>
        <v>-19769631</v>
      </c>
      <c r="Q14" s="825">
        <f t="shared" si="5"/>
        <v>-0.11699861594623015</v>
      </c>
      <c r="R14" s="308">
        <f t="shared" si="5"/>
        <v>14676869</v>
      </c>
      <c r="S14" s="237">
        <f>SUM(S15:S16)</f>
        <v>22636648</v>
      </c>
      <c r="T14" s="237">
        <f>SUM(T15:T16)</f>
        <v>22636648</v>
      </c>
      <c r="U14" s="237">
        <f>SUM(U15:U16)</f>
        <v>17962052</v>
      </c>
      <c r="V14" s="237">
        <f t="shared" si="5"/>
        <v>18884537</v>
      </c>
      <c r="W14" s="825">
        <f t="shared" si="5"/>
        <v>19769631</v>
      </c>
      <c r="X14" s="308">
        <f t="shared" si="5"/>
        <v>7923383</v>
      </c>
      <c r="Y14" s="237">
        <f aca="true" t="shared" si="6" ref="Y14:AD14">SUM(Y15:Y16)</f>
        <v>7923383</v>
      </c>
      <c r="Z14" s="237">
        <f>SUM(Z15:Z16)</f>
        <v>7923383</v>
      </c>
      <c r="AA14" s="237">
        <f>SUM(AA15:AA16)</f>
        <v>7923383</v>
      </c>
      <c r="AB14" s="237">
        <f t="shared" si="6"/>
        <v>5610894</v>
      </c>
      <c r="AC14" s="237">
        <f t="shared" si="6"/>
        <v>5610894</v>
      </c>
      <c r="AD14" s="825">
        <f t="shared" si="6"/>
        <v>5610894</v>
      </c>
      <c r="AE14" s="950"/>
    </row>
    <row r="15" spans="1:31" ht="21.75" customHeight="1">
      <c r="A15" s="64"/>
      <c r="B15" s="60"/>
      <c r="C15" s="60" t="s">
        <v>271</v>
      </c>
      <c r="D15" s="473" t="s">
        <v>276</v>
      </c>
      <c r="E15" s="308">
        <f>'3.sz.m Önk  bev.'!E15</f>
        <v>185000000</v>
      </c>
      <c r="F15" s="237">
        <f>'3.sz.m Önk  bev.'!F15</f>
        <v>185000000</v>
      </c>
      <c r="G15" s="237">
        <f>'3.sz.m Önk  bev.'!G15</f>
        <v>185000000</v>
      </c>
      <c r="H15" s="237">
        <f>'3.sz.m Önk  bev.'!H15</f>
        <v>186935256</v>
      </c>
      <c r="I15" s="237">
        <f>'3.sz.m Önk  bev.'!I15</f>
        <v>0</v>
      </c>
      <c r="J15" s="237">
        <f>'3.sz.m Önk  bev.'!J15</f>
        <v>0</v>
      </c>
      <c r="K15" s="308">
        <f>'3.sz.m Önk  bev.'!L15</f>
        <v>170323131</v>
      </c>
      <c r="L15" s="237">
        <f>'3.sz.m Önk  bev.'!M15</f>
        <v>162363352</v>
      </c>
      <c r="M15" s="237">
        <f>'3.sz.m Önk  bev.'!N15</f>
        <v>162363352</v>
      </c>
      <c r="N15" s="237">
        <f>'3.sz.m Önk  bev.'!O15</f>
        <v>168973204</v>
      </c>
      <c r="O15" s="237">
        <f>'3.sz.m Önk  bev.'!P15</f>
        <v>-18884537</v>
      </c>
      <c r="P15" s="237">
        <f>'3.sz.m Önk  bev.'!Q15</f>
        <v>-19769631</v>
      </c>
      <c r="Q15" s="653">
        <f t="shared" si="4"/>
        <v>-0.11699861594623015</v>
      </c>
      <c r="R15" s="308">
        <f>'3.sz.m Önk  bev.'!S15</f>
        <v>14676869</v>
      </c>
      <c r="S15" s="237">
        <f>'3.sz.m Önk  bev.'!T15</f>
        <v>22636648</v>
      </c>
      <c r="T15" s="237">
        <f>'3.sz.m Önk  bev.'!U15</f>
        <v>22636648</v>
      </c>
      <c r="U15" s="237">
        <f>'3.sz.m Önk  bev.'!V15</f>
        <v>17962052</v>
      </c>
      <c r="V15" s="237">
        <f>'3.sz.m Önk  bev.'!W15</f>
        <v>18884537</v>
      </c>
      <c r="W15" s="825">
        <f>'3.sz.m Önk  bev.'!X15</f>
        <v>19769631</v>
      </c>
      <c r="X15" s="901">
        <f>+'1 .sz.m.önk.össz.kiad.'!X36</f>
        <v>7923383</v>
      </c>
      <c r="Y15" s="902">
        <f>+'1 .sz.m.önk.össz.kiad.'!Y36</f>
        <v>7923383</v>
      </c>
      <c r="Z15" s="902">
        <f>+'1 .sz.m.önk.össz.kiad.'!Z36</f>
        <v>7923383</v>
      </c>
      <c r="AA15" s="902">
        <f>+'1 .sz.m.önk.össz.kiad.'!AA36</f>
        <v>7923383</v>
      </c>
      <c r="AB15" s="237">
        <v>5610894</v>
      </c>
      <c r="AC15" s="237">
        <v>5610894</v>
      </c>
      <c r="AD15" s="825">
        <v>5610894</v>
      </c>
      <c r="AE15" s="950"/>
    </row>
    <row r="16" spans="1:31" ht="21.75" customHeight="1">
      <c r="A16" s="64"/>
      <c r="B16" s="60"/>
      <c r="C16" s="60" t="s">
        <v>272</v>
      </c>
      <c r="D16" s="473" t="s">
        <v>277</v>
      </c>
      <c r="E16" s="308">
        <f>'3.sz.m Önk  bev.'!E16</f>
        <v>0</v>
      </c>
      <c r="F16" s="237">
        <f>'3.sz.m Önk  bev.'!F16</f>
        <v>0</v>
      </c>
      <c r="G16" s="237">
        <f>'3.sz.m Önk  bev.'!G16</f>
        <v>0</v>
      </c>
      <c r="H16" s="237">
        <f>'3.sz.m Önk  bev.'!H16</f>
        <v>0</v>
      </c>
      <c r="I16" s="237">
        <f>'3.sz.m Önk  bev.'!I16</f>
        <v>0</v>
      </c>
      <c r="J16" s="237">
        <f>'3.sz.m Önk  bev.'!J16</f>
        <v>0</v>
      </c>
      <c r="K16" s="308">
        <f>'3.sz.m Önk  bev.'!L16</f>
        <v>0</v>
      </c>
      <c r="L16" s="237">
        <f>'3.sz.m Önk  bev.'!M16</f>
        <v>0</v>
      </c>
      <c r="M16" s="237">
        <f>'3.sz.m Önk  bev.'!N16</f>
        <v>0</v>
      </c>
      <c r="N16" s="237">
        <f>'3.sz.m Önk  bev.'!O16</f>
        <v>0</v>
      </c>
      <c r="O16" s="237">
        <f>'3.sz.m Önk  bev.'!P16</f>
        <v>0</v>
      </c>
      <c r="P16" s="237">
        <f>'3.sz.m Önk  bev.'!Q16</f>
        <v>0</v>
      </c>
      <c r="Q16" s="653"/>
      <c r="R16" s="308">
        <v>0</v>
      </c>
      <c r="S16" s="237">
        <v>0</v>
      </c>
      <c r="T16" s="237">
        <v>0</v>
      </c>
      <c r="U16" s="237">
        <v>0</v>
      </c>
      <c r="V16" s="237"/>
      <c r="W16" s="825"/>
      <c r="X16" s="308">
        <v>0</v>
      </c>
      <c r="Y16" s="237">
        <v>0</v>
      </c>
      <c r="Z16" s="237">
        <v>0</v>
      </c>
      <c r="AA16" s="237">
        <v>0</v>
      </c>
      <c r="AB16" s="237">
        <v>0</v>
      </c>
      <c r="AC16" s="237">
        <v>0</v>
      </c>
      <c r="AD16" s="825">
        <v>0</v>
      </c>
      <c r="AE16" s="950"/>
    </row>
    <row r="17" spans="1:31" ht="21.75" customHeight="1">
      <c r="A17" s="64"/>
      <c r="B17" s="60" t="s">
        <v>109</v>
      </c>
      <c r="C17" s="1300" t="s">
        <v>278</v>
      </c>
      <c r="D17" s="1300"/>
      <c r="E17" s="308">
        <f>'3.sz.m Önk  bev.'!E17</f>
        <v>14150000</v>
      </c>
      <c r="F17" s="237">
        <f>'3.sz.m Önk  bev.'!F17</f>
        <v>468365</v>
      </c>
      <c r="G17" s="237">
        <f>'3.sz.m Önk  bev.'!G17</f>
        <v>468365</v>
      </c>
      <c r="H17" s="237">
        <f>'3.sz.m Önk  bev.'!H17</f>
        <v>468365</v>
      </c>
      <c r="I17" s="237">
        <f>'3.sz.m Önk  bev.'!I17</f>
        <v>0</v>
      </c>
      <c r="J17" s="237">
        <f>'3.sz.m Önk  bev.'!J17</f>
        <v>0</v>
      </c>
      <c r="K17" s="308">
        <f>'3.sz.m Önk  bev.'!L17</f>
        <v>14150000</v>
      </c>
      <c r="L17" s="237">
        <f>'3.sz.m Önk  bev.'!M17</f>
        <v>468365</v>
      </c>
      <c r="M17" s="237">
        <f>'3.sz.m Önk  bev.'!N17</f>
        <v>468365</v>
      </c>
      <c r="N17" s="237">
        <f>'3.sz.m Önk  bev.'!O17</f>
        <v>468365</v>
      </c>
      <c r="O17" s="237">
        <f>'3.sz.m Önk  bev.'!P17</f>
        <v>0</v>
      </c>
      <c r="P17" s="237">
        <f>'3.sz.m Önk  bev.'!Q17</f>
        <v>0</v>
      </c>
      <c r="Q17" s="654">
        <f t="shared" si="4"/>
        <v>0</v>
      </c>
      <c r="R17" s="308">
        <v>0</v>
      </c>
      <c r="S17" s="237">
        <v>0</v>
      </c>
      <c r="T17" s="237">
        <v>0</v>
      </c>
      <c r="U17" s="237">
        <v>0</v>
      </c>
      <c r="V17" s="237"/>
      <c r="W17" s="825"/>
      <c r="X17" s="308">
        <v>0</v>
      </c>
      <c r="Y17" s="237">
        <v>0</v>
      </c>
      <c r="Z17" s="237">
        <v>0</v>
      </c>
      <c r="AA17" s="237">
        <v>0</v>
      </c>
      <c r="AB17" s="237">
        <v>0</v>
      </c>
      <c r="AC17" s="237">
        <v>0</v>
      </c>
      <c r="AD17" s="825">
        <v>0</v>
      </c>
      <c r="AE17" s="950"/>
    </row>
    <row r="18" spans="1:31" ht="21.75" customHeight="1">
      <c r="A18" s="64"/>
      <c r="B18" s="60" t="s">
        <v>47</v>
      </c>
      <c r="C18" s="1303" t="s">
        <v>279</v>
      </c>
      <c r="D18" s="1304"/>
      <c r="E18" s="308">
        <f aca="true" t="shared" si="7" ref="E18:P18">SUM(E19:E20)</f>
        <v>0</v>
      </c>
      <c r="F18" s="237">
        <f t="shared" si="7"/>
        <v>0</v>
      </c>
      <c r="G18" s="237">
        <f t="shared" si="7"/>
        <v>0</v>
      </c>
      <c r="H18" s="237">
        <f>SUM(H19:H20)</f>
        <v>0</v>
      </c>
      <c r="I18" s="237">
        <f t="shared" si="7"/>
        <v>0</v>
      </c>
      <c r="J18" s="237">
        <f t="shared" si="7"/>
        <v>0</v>
      </c>
      <c r="K18" s="308">
        <f t="shared" si="7"/>
        <v>0</v>
      </c>
      <c r="L18" s="237">
        <f>SUM(L19:L20)</f>
        <v>0</v>
      </c>
      <c r="M18" s="237">
        <f>SUM(M19:M20)</f>
        <v>0</v>
      </c>
      <c r="N18" s="237">
        <f>SUM(N19:N20)</f>
        <v>0</v>
      </c>
      <c r="O18" s="237">
        <f t="shared" si="7"/>
        <v>0</v>
      </c>
      <c r="P18" s="237">
        <f t="shared" si="7"/>
        <v>0</v>
      </c>
      <c r="Q18" s="654" t="e">
        <f t="shared" si="4"/>
        <v>#DIV/0!</v>
      </c>
      <c r="R18" s="308">
        <v>0</v>
      </c>
      <c r="S18" s="237">
        <v>0</v>
      </c>
      <c r="T18" s="237">
        <v>0</v>
      </c>
      <c r="U18" s="237">
        <v>0</v>
      </c>
      <c r="V18" s="237"/>
      <c r="W18" s="825"/>
      <c r="X18" s="308">
        <v>0</v>
      </c>
      <c r="Y18" s="237">
        <v>0</v>
      </c>
      <c r="Z18" s="237">
        <v>0</v>
      </c>
      <c r="AA18" s="237">
        <v>0</v>
      </c>
      <c r="AB18" s="237">
        <v>0</v>
      </c>
      <c r="AC18" s="237">
        <v>0</v>
      </c>
      <c r="AD18" s="825">
        <v>0</v>
      </c>
      <c r="AE18" s="950"/>
    </row>
    <row r="19" spans="1:31" ht="21.75" customHeight="1">
      <c r="A19" s="64"/>
      <c r="B19" s="60"/>
      <c r="C19" s="60" t="s">
        <v>280</v>
      </c>
      <c r="D19" s="473" t="s">
        <v>282</v>
      </c>
      <c r="E19" s="308">
        <f>'3.sz.m Önk  bev.'!E19</f>
        <v>0</v>
      </c>
      <c r="F19" s="237">
        <f>'3.sz.m Önk  bev.'!F19</f>
        <v>0</v>
      </c>
      <c r="G19" s="237">
        <f>'3.sz.m Önk  bev.'!G19</f>
        <v>0</v>
      </c>
      <c r="H19" s="237">
        <f>'3.sz.m Önk  bev.'!H19</f>
        <v>0</v>
      </c>
      <c r="I19" s="237">
        <f>'3.sz.m Önk  bev.'!I19</f>
        <v>0</v>
      </c>
      <c r="J19" s="237">
        <f>'3.sz.m Önk  bev.'!J19</f>
        <v>0</v>
      </c>
      <c r="K19" s="308">
        <f>'3.sz.m Önk  bev.'!L19</f>
        <v>0</v>
      </c>
      <c r="L19" s="237">
        <f>'3.sz.m Önk  bev.'!M19</f>
        <v>0</v>
      </c>
      <c r="M19" s="237">
        <f>'3.sz.m Önk  bev.'!N19</f>
        <v>0</v>
      </c>
      <c r="N19" s="237">
        <f>'3.sz.m Önk  bev.'!O19</f>
        <v>0</v>
      </c>
      <c r="O19" s="237">
        <f>'3.sz.m Önk  bev.'!P19</f>
        <v>0</v>
      </c>
      <c r="P19" s="237">
        <f>'3.sz.m Önk  bev.'!Q19</f>
        <v>0</v>
      </c>
      <c r="Q19" s="654"/>
      <c r="R19" s="308">
        <v>0</v>
      </c>
      <c r="S19" s="237">
        <v>0</v>
      </c>
      <c r="T19" s="237">
        <v>0</v>
      </c>
      <c r="U19" s="237">
        <v>0</v>
      </c>
      <c r="V19" s="237"/>
      <c r="W19" s="825"/>
      <c r="X19" s="308">
        <v>0</v>
      </c>
      <c r="Y19" s="237">
        <v>0</v>
      </c>
      <c r="Z19" s="237">
        <v>0</v>
      </c>
      <c r="AA19" s="237">
        <v>0</v>
      </c>
      <c r="AB19" s="237">
        <v>0</v>
      </c>
      <c r="AC19" s="237">
        <v>0</v>
      </c>
      <c r="AD19" s="825">
        <v>0</v>
      </c>
      <c r="AE19" s="950"/>
    </row>
    <row r="20" spans="1:31" ht="21.75" customHeight="1" hidden="1">
      <c r="A20" s="64"/>
      <c r="B20" s="60"/>
      <c r="C20" s="60" t="s">
        <v>281</v>
      </c>
      <c r="D20" s="473" t="s">
        <v>255</v>
      </c>
      <c r="E20" s="308">
        <f>'3.sz.m Önk  bev.'!E20</f>
        <v>0</v>
      </c>
      <c r="F20" s="237">
        <f>'3.sz.m Önk  bev.'!F20</f>
        <v>0</v>
      </c>
      <c r="G20" s="237">
        <f>'3.sz.m Önk  bev.'!G20</f>
        <v>0</v>
      </c>
      <c r="H20" s="237">
        <f>'3.sz.m Önk  bev.'!H20</f>
        <v>0</v>
      </c>
      <c r="I20" s="237">
        <f>'3.sz.m Önk  bev.'!I20</f>
        <v>0</v>
      </c>
      <c r="J20" s="237">
        <f>'3.sz.m Önk  bev.'!J20</f>
        <v>0</v>
      </c>
      <c r="K20" s="308">
        <f>'3.sz.m Önk  bev.'!L20</f>
        <v>0</v>
      </c>
      <c r="L20" s="237">
        <f>'3.sz.m Önk  bev.'!M20</f>
        <v>0</v>
      </c>
      <c r="M20" s="237">
        <f>'3.sz.m Önk  bev.'!N20</f>
        <v>0</v>
      </c>
      <c r="N20" s="237">
        <f>'3.sz.m Önk  bev.'!O20</f>
        <v>0</v>
      </c>
      <c r="O20" s="237">
        <f>'3.sz.m Önk  bev.'!P20</f>
        <v>0</v>
      </c>
      <c r="P20" s="237">
        <f>'3.sz.m Önk  bev.'!Q20</f>
        <v>0</v>
      </c>
      <c r="Q20" s="654" t="e">
        <f t="shared" si="4"/>
        <v>#DIV/0!</v>
      </c>
      <c r="R20" s="308">
        <v>0</v>
      </c>
      <c r="S20" s="237">
        <v>0</v>
      </c>
      <c r="T20" s="237">
        <v>0</v>
      </c>
      <c r="U20" s="237">
        <v>0</v>
      </c>
      <c r="V20" s="237"/>
      <c r="W20" s="825"/>
      <c r="X20" s="308">
        <v>0</v>
      </c>
      <c r="Y20" s="237">
        <v>0</v>
      </c>
      <c r="Z20" s="237">
        <v>0</v>
      </c>
      <c r="AA20" s="237">
        <v>0</v>
      </c>
      <c r="AB20" s="237">
        <v>0</v>
      </c>
      <c r="AC20" s="237">
        <v>0</v>
      </c>
      <c r="AD20" s="825">
        <v>0</v>
      </c>
      <c r="AE20" s="950"/>
    </row>
    <row r="21" spans="1:31" ht="21.75" customHeight="1" thickBot="1">
      <c r="A21" s="379"/>
      <c r="B21" s="530" t="s">
        <v>48</v>
      </c>
      <c r="C21" s="1305" t="s">
        <v>283</v>
      </c>
      <c r="D21" s="1306"/>
      <c r="E21" s="308">
        <f>'3.sz.m Önk  bev.'!E21</f>
        <v>1410000</v>
      </c>
      <c r="F21" s="237">
        <f>'3.sz.m Önk  bev.'!F21</f>
        <v>1410000</v>
      </c>
      <c r="G21" s="237">
        <f>'3.sz.m Önk  bev.'!G21</f>
        <v>1410000</v>
      </c>
      <c r="H21" s="237">
        <f>'3.sz.m Önk  bev.'!H21</f>
        <v>3266667</v>
      </c>
      <c r="I21" s="237">
        <f>'3.sz.m Önk  bev.'!I21</f>
        <v>0</v>
      </c>
      <c r="J21" s="237">
        <f>'3.sz.m Önk  bev.'!J21</f>
        <v>0</v>
      </c>
      <c r="K21" s="308">
        <f>'3.sz.m Önk  bev.'!L21</f>
        <v>1410000</v>
      </c>
      <c r="L21" s="237">
        <f>'3.sz.m Önk  bev.'!M21</f>
        <v>1410000</v>
      </c>
      <c r="M21" s="237">
        <f>'3.sz.m Önk  bev.'!N21</f>
        <v>1410000</v>
      </c>
      <c r="N21" s="237">
        <f>'3.sz.m Önk  bev.'!O21</f>
        <v>3266667</v>
      </c>
      <c r="O21" s="237">
        <f>'3.sz.m Önk  bev.'!P21</f>
        <v>0</v>
      </c>
      <c r="P21" s="237">
        <f>'3.sz.m Önk  bev.'!Q21</f>
        <v>0</v>
      </c>
      <c r="Q21" s="655">
        <f t="shared" si="4"/>
        <v>0</v>
      </c>
      <c r="R21" s="308">
        <v>0</v>
      </c>
      <c r="S21" s="237">
        <v>0</v>
      </c>
      <c r="T21" s="237">
        <v>0</v>
      </c>
      <c r="U21" s="237">
        <v>0</v>
      </c>
      <c r="V21" s="237"/>
      <c r="W21" s="825"/>
      <c r="X21" s="308">
        <v>0</v>
      </c>
      <c r="Y21" s="237">
        <v>0</v>
      </c>
      <c r="Z21" s="237">
        <v>0</v>
      </c>
      <c r="AA21" s="237">
        <v>0</v>
      </c>
      <c r="AB21" s="237">
        <v>0</v>
      </c>
      <c r="AC21" s="237">
        <v>0</v>
      </c>
      <c r="AD21" s="825">
        <v>0</v>
      </c>
      <c r="AE21" s="950"/>
    </row>
    <row r="22" spans="1:31" ht="21.75" customHeight="1" thickBot="1">
      <c r="A22" s="67" t="s">
        <v>284</v>
      </c>
      <c r="B22" s="1296" t="s">
        <v>285</v>
      </c>
      <c r="C22" s="1296"/>
      <c r="D22" s="1296"/>
      <c r="E22" s="306">
        <f>E23+E24+E26+E30+E31+E32+E33+E25</f>
        <v>74220992</v>
      </c>
      <c r="F22" s="306">
        <f>F23+F24+F26+F30+F31+F32+F33+F25</f>
        <v>62585349</v>
      </c>
      <c r="G22" s="306">
        <f>G23+G24+G26+G30+G31+G32+G33+G25</f>
        <v>58187345</v>
      </c>
      <c r="H22" s="306">
        <f>H23+H24+H26+H30+H31+H32+H33+H25</f>
        <v>50132483</v>
      </c>
      <c r="I22" s="306">
        <f>I23+I24+I26+I30+I31+I32+I33+I25+I34</f>
        <v>0</v>
      </c>
      <c r="J22" s="306">
        <f>J23+J24+J26+J30+J31+J32+J33+J25+J34</f>
        <v>0</v>
      </c>
      <c r="K22" s="306">
        <f>K23+K24+K26+K30+K31+K32+K33+K25</f>
        <v>74030492</v>
      </c>
      <c r="L22" s="235">
        <f>L23+L24+L26+L30+L31+L32+L33+L25</f>
        <v>62394849</v>
      </c>
      <c r="M22" s="235">
        <f>M23+M24+M26+M30+M31+M32+M33+M25</f>
        <v>57996845</v>
      </c>
      <c r="N22" s="235">
        <f>N23+N24+N26+N30+N31+N32+N33+N25</f>
        <v>49941983</v>
      </c>
      <c r="O22" s="235">
        <f>O23+O24+O26+O30+O31+O32+O33+O25+O34</f>
        <v>229308</v>
      </c>
      <c r="P22" s="887">
        <f>+P23+P24+P25+P26+P30+P32+P33+P34</f>
        <v>-381000</v>
      </c>
      <c r="Q22" s="650">
        <f>Q23+Q24+Q26+Q30+Q31+Q32+Q33+Q25</f>
        <v>2</v>
      </c>
      <c r="R22" s="306">
        <f aca="true" t="shared" si="8" ref="R22:W22">R23+R24+R26+R30+R31+R32+R33</f>
        <v>190500</v>
      </c>
      <c r="S22" s="235">
        <f>S23+S24+S26+S30+S31+S32+S33</f>
        <v>190500</v>
      </c>
      <c r="T22" s="235">
        <f>T23+T24+T26+T30+T31+T32+T33</f>
        <v>190500</v>
      </c>
      <c r="U22" s="235">
        <f>U23+U24+U26+U30+U31+U32+U33</f>
        <v>190500</v>
      </c>
      <c r="V22" s="235">
        <f t="shared" si="8"/>
        <v>0</v>
      </c>
      <c r="W22" s="650">
        <f t="shared" si="8"/>
        <v>381000</v>
      </c>
      <c r="X22" s="306">
        <f aca="true" t="shared" si="9" ref="X22:AD22">X23+X24+X26+X30+X31+X32+X33</f>
        <v>0</v>
      </c>
      <c r="Y22" s="235">
        <f>Y23+Y24+Y26+Y30+Y31+Y32+Y33</f>
        <v>0</v>
      </c>
      <c r="Z22" s="235">
        <f>Z23+Z24+Z26+Z30+Z31+Z32+Z33</f>
        <v>0</v>
      </c>
      <c r="AA22" s="235">
        <f>AA23+AA24+AA26+AA30+AA31+AA32+AA33</f>
        <v>0</v>
      </c>
      <c r="AB22" s="235">
        <f t="shared" si="9"/>
        <v>0</v>
      </c>
      <c r="AC22" s="235">
        <f t="shared" si="9"/>
        <v>0</v>
      </c>
      <c r="AD22" s="650">
        <f t="shared" si="9"/>
        <v>0</v>
      </c>
      <c r="AE22" s="950"/>
    </row>
    <row r="23" spans="1:31" ht="21.75" customHeight="1">
      <c r="A23" s="65"/>
      <c r="B23" s="66" t="s">
        <v>37</v>
      </c>
      <c r="C23" s="1310" t="s">
        <v>286</v>
      </c>
      <c r="D23" s="1310"/>
      <c r="E23" s="236">
        <f>'3.sz.m Önk  bev.'!E23+'5.1 sz. m Köz Hiv'!D10+'5.2 sz. m ÁMK'!D10</f>
        <v>29255146</v>
      </c>
      <c r="F23" s="236">
        <f>'3.sz.m Önk  bev.'!F23+'5.1 sz. m Köz Hiv'!E10+'5.2 sz. m ÁMK'!E10</f>
        <v>29258146</v>
      </c>
      <c r="G23" s="236">
        <f>'3.sz.m Önk  bev.'!G23+'5.1 sz. m Köz Hiv'!F10+'5.2 sz. m ÁMK'!F10</f>
        <v>29258146</v>
      </c>
      <c r="H23" s="236">
        <f>'3.sz.m Önk  bev.'!H23+'5.1 sz. m Köz Hiv'!G10+'5.2 sz. m ÁMK'!G10</f>
        <v>31240091</v>
      </c>
      <c r="I23" s="236">
        <f>'3.sz.m Önk  bev.'!I23+'5.1 sz. m Köz Hiv'!H10+'5.2 sz. m ÁMK'!H10</f>
        <v>0</v>
      </c>
      <c r="J23" s="236">
        <f>'3.sz.m Önk  bev.'!J23+'5.1 sz. m Köz Hiv'!I10+'5.2 sz. m ÁMK'!I10</f>
        <v>0</v>
      </c>
      <c r="K23" s="307">
        <f aca="true" t="shared" si="10" ref="K23:N25">+E23-R23</f>
        <v>29064646</v>
      </c>
      <c r="L23" s="236">
        <f t="shared" si="10"/>
        <v>29067646</v>
      </c>
      <c r="M23" s="236">
        <f t="shared" si="10"/>
        <v>29067646</v>
      </c>
      <c r="N23" s="236">
        <f t="shared" si="10"/>
        <v>31049591</v>
      </c>
      <c r="O23" s="236">
        <f>'3.sz.m Önk  bev.'!P23+'5.1 sz. m Köz Hiv'!P10+'5.2 sz. m ÁMK'!P10</f>
        <v>0</v>
      </c>
      <c r="P23" s="236">
        <f>'3.sz.m Önk  bev.'!Q23+'5.1 sz. m Köz Hiv'!Q10+'5.2 sz. m ÁMK'!Q10</f>
        <v>-300000</v>
      </c>
      <c r="Q23" s="1140">
        <f>'3.sz.m Önk  bev.'!R23+'5.1 sz. m Köz Hiv'!R10+'5.2 sz. m ÁMK'!R10</f>
        <v>0</v>
      </c>
      <c r="R23" s="307">
        <f>+'3.sz.m Önk  bev.'!S23</f>
        <v>190500</v>
      </c>
      <c r="S23" s="236">
        <f>+'3.sz.m Önk  bev.'!T23</f>
        <v>190500</v>
      </c>
      <c r="T23" s="236">
        <f>+'3.sz.m Önk  bev.'!U23</f>
        <v>190500</v>
      </c>
      <c r="U23" s="236">
        <f>+'3.sz.m Önk  bev.'!V23</f>
        <v>190500</v>
      </c>
      <c r="V23" s="236"/>
      <c r="W23" s="1140">
        <f>+'3.sz.m Önk  bev.'!X23</f>
        <v>300000</v>
      </c>
      <c r="X23" s="307">
        <v>0</v>
      </c>
      <c r="Y23" s="236">
        <v>0</v>
      </c>
      <c r="Z23" s="236">
        <v>0</v>
      </c>
      <c r="AA23" s="236">
        <v>0</v>
      </c>
      <c r="AB23" s="236">
        <v>0</v>
      </c>
      <c r="AC23" s="236">
        <v>0</v>
      </c>
      <c r="AD23" s="1140">
        <v>0</v>
      </c>
      <c r="AE23" s="950"/>
    </row>
    <row r="24" spans="1:31" ht="21.75" customHeight="1">
      <c r="A24" s="64"/>
      <c r="B24" s="60" t="s">
        <v>38</v>
      </c>
      <c r="C24" s="1302" t="s">
        <v>287</v>
      </c>
      <c r="D24" s="1302"/>
      <c r="E24" s="236">
        <f>'3.sz.m Önk  bev.'!E24+'5.2 sz. m ÁMK'!D11</f>
        <v>7315000</v>
      </c>
      <c r="F24" s="236">
        <f>'3.sz.m Önk  bev.'!F24+'5.2 sz. m ÁMK'!E11</f>
        <v>7315000</v>
      </c>
      <c r="G24" s="236">
        <f>'3.sz.m Önk  bev.'!G24+'5.2 sz. m ÁMK'!F11</f>
        <v>7315000</v>
      </c>
      <c r="H24" s="236">
        <f>'3.sz.m Önk  bev.'!H24+'5.2 sz. m ÁMK'!G11+'5.1 sz. m Köz Hiv'!G11</f>
        <v>4439824</v>
      </c>
      <c r="I24" s="236">
        <f>'3.sz.m Önk  bev.'!I24+'5.2 sz. m ÁMK'!H11+'5.1 sz. m Köz Hiv'!H11</f>
        <v>0</v>
      </c>
      <c r="J24" s="236">
        <f>'3.sz.m Önk  bev.'!J24+'5.2 sz. m ÁMK'!I11+'5.1 sz. m Köz Hiv'!I11</f>
        <v>0</v>
      </c>
      <c r="K24" s="307">
        <f t="shared" si="10"/>
        <v>7315000</v>
      </c>
      <c r="L24" s="236">
        <f t="shared" si="10"/>
        <v>7315000</v>
      </c>
      <c r="M24" s="236">
        <f t="shared" si="10"/>
        <v>7315000</v>
      </c>
      <c r="N24" s="236">
        <f t="shared" si="10"/>
        <v>4439824</v>
      </c>
      <c r="O24" s="236">
        <f>'3.sz.m Önk  bev.'!P24+'5.2 sz. m ÁMK'!P11+'5.1 sz. m Köz Hiv'!P11</f>
        <v>0</v>
      </c>
      <c r="P24" s="236">
        <f>'3.sz.m Önk  bev.'!Q24+'5.2 sz. m ÁMK'!Q11+'5.1 sz. m Köz Hiv'!Q11</f>
        <v>0</v>
      </c>
      <c r="Q24" s="1140">
        <f>'3.sz.m Önk  bev.'!R24+'5.2 sz. m ÁMK'!R11+'5.1 sz. m Köz Hiv'!R11</f>
        <v>0</v>
      </c>
      <c r="R24" s="309">
        <v>0</v>
      </c>
      <c r="S24" s="238">
        <v>0</v>
      </c>
      <c r="T24" s="238">
        <v>0</v>
      </c>
      <c r="U24" s="238">
        <v>0</v>
      </c>
      <c r="V24" s="238"/>
      <c r="W24" s="866"/>
      <c r="X24" s="309">
        <v>0</v>
      </c>
      <c r="Y24" s="238">
        <v>0</v>
      </c>
      <c r="Z24" s="238">
        <v>0</v>
      </c>
      <c r="AA24" s="238">
        <v>0</v>
      </c>
      <c r="AB24" s="238">
        <v>0</v>
      </c>
      <c r="AC24" s="238">
        <v>0</v>
      </c>
      <c r="AD24" s="866">
        <v>0</v>
      </c>
      <c r="AE24" s="950"/>
    </row>
    <row r="25" spans="1:31" ht="21.75" customHeight="1">
      <c r="A25" s="64"/>
      <c r="B25" s="60" t="s">
        <v>445</v>
      </c>
      <c r="C25" s="1302" t="s">
        <v>441</v>
      </c>
      <c r="D25" s="1307"/>
      <c r="E25" s="236">
        <f>'5.2 sz. m ÁMK'!D13</f>
        <v>6433487</v>
      </c>
      <c r="F25" s="236">
        <f>'5.2 sz. m ÁMK'!E13</f>
        <v>6433487</v>
      </c>
      <c r="G25" s="236">
        <f>'5.2 sz. m ÁMK'!F13</f>
        <v>6433487</v>
      </c>
      <c r="H25" s="236">
        <f>'5.2 sz. m ÁMK'!G13</f>
        <v>5135080</v>
      </c>
      <c r="I25" s="236">
        <f>'5.2 sz. m ÁMK'!H13</f>
        <v>0</v>
      </c>
      <c r="J25" s="236">
        <f>'5.2 sz. m ÁMK'!I13</f>
        <v>0</v>
      </c>
      <c r="K25" s="307">
        <f t="shared" si="10"/>
        <v>6433487</v>
      </c>
      <c r="L25" s="236">
        <f t="shared" si="10"/>
        <v>6433487</v>
      </c>
      <c r="M25" s="236">
        <f t="shared" si="10"/>
        <v>6433487</v>
      </c>
      <c r="N25" s="236">
        <f t="shared" si="10"/>
        <v>5135080</v>
      </c>
      <c r="O25" s="236">
        <f>'5.2 sz. m ÁMK'!P13</f>
        <v>0</v>
      </c>
      <c r="P25" s="236">
        <f>'5.2 sz. m ÁMK'!Q13</f>
        <v>0</v>
      </c>
      <c r="Q25" s="1140">
        <f>'5.2 sz. m ÁMK'!R13</f>
        <v>0</v>
      </c>
      <c r="R25" s="309"/>
      <c r="S25" s="238"/>
      <c r="T25" s="238"/>
      <c r="U25" s="238"/>
      <c r="V25" s="238"/>
      <c r="W25" s="866"/>
      <c r="X25" s="309"/>
      <c r="Y25" s="238"/>
      <c r="Z25" s="238"/>
      <c r="AA25" s="238"/>
      <c r="AB25" s="238"/>
      <c r="AC25" s="238"/>
      <c r="AD25" s="866"/>
      <c r="AE25" s="950"/>
    </row>
    <row r="26" spans="1:31" ht="21.75" customHeight="1">
      <c r="A26" s="64"/>
      <c r="B26" s="60" t="s">
        <v>256</v>
      </c>
      <c r="C26" s="1302" t="s">
        <v>288</v>
      </c>
      <c r="D26" s="1302"/>
      <c r="E26" s="238">
        <f aca="true" t="shared" si="11" ref="E26:J26">SUM(E27:E29)</f>
        <v>1325401</v>
      </c>
      <c r="F26" s="238">
        <f t="shared" si="11"/>
        <v>1325401</v>
      </c>
      <c r="G26" s="238">
        <f>SUM(G27:G29)</f>
        <v>1325401</v>
      </c>
      <c r="H26" s="238">
        <f>SUM(H27:H29)</f>
        <v>643286</v>
      </c>
      <c r="I26" s="238">
        <f t="shared" si="11"/>
        <v>0</v>
      </c>
      <c r="J26" s="238">
        <f t="shared" si="11"/>
        <v>0</v>
      </c>
      <c r="K26" s="309">
        <f aca="true" t="shared" si="12" ref="K26:Q26">SUM(K27:K29)</f>
        <v>1325401</v>
      </c>
      <c r="L26" s="238">
        <f>SUM(L27:L29)</f>
        <v>1325401</v>
      </c>
      <c r="M26" s="238">
        <f>SUM(M27:M29)</f>
        <v>1325401</v>
      </c>
      <c r="N26" s="238">
        <f>SUM(N27:N29)</f>
        <v>643286</v>
      </c>
      <c r="O26" s="238">
        <f t="shared" si="12"/>
        <v>0</v>
      </c>
      <c r="P26" s="238">
        <f>SUM(P27:P29)</f>
        <v>0</v>
      </c>
      <c r="Q26" s="866">
        <f t="shared" si="12"/>
        <v>2</v>
      </c>
      <c r="R26" s="309">
        <v>0</v>
      </c>
      <c r="S26" s="238">
        <v>0</v>
      </c>
      <c r="T26" s="238">
        <v>0</v>
      </c>
      <c r="U26" s="238">
        <v>0</v>
      </c>
      <c r="V26" s="238">
        <f>SUM(V27:V29)</f>
        <v>0</v>
      </c>
      <c r="W26" s="866">
        <f>SUM(W27:W29)</f>
        <v>0</v>
      </c>
      <c r="X26" s="309">
        <v>0</v>
      </c>
      <c r="Y26" s="238">
        <v>0</v>
      </c>
      <c r="Z26" s="238">
        <v>0</v>
      </c>
      <c r="AA26" s="238">
        <v>0</v>
      </c>
      <c r="AB26" s="238">
        <v>0</v>
      </c>
      <c r="AC26" s="238">
        <v>0</v>
      </c>
      <c r="AD26" s="866">
        <v>0</v>
      </c>
      <c r="AE26" s="950"/>
    </row>
    <row r="27" spans="1:31" ht="31.5" customHeight="1">
      <c r="A27" s="64"/>
      <c r="B27" s="60"/>
      <c r="C27" s="60" t="s">
        <v>446</v>
      </c>
      <c r="D27" s="270" t="s">
        <v>289</v>
      </c>
      <c r="E27" s="238">
        <f>'3.sz.m Önk  bev.'!E26+'5.2 sz. m ÁMK'!D12</f>
        <v>829648</v>
      </c>
      <c r="F27" s="238">
        <f>'3.sz.m Önk  bev.'!F26+'5.2 sz. m ÁMK'!E12</f>
        <v>829648</v>
      </c>
      <c r="G27" s="238">
        <f>'3.sz.m Önk  bev.'!G26+'5.2 sz. m ÁMK'!F12</f>
        <v>829648</v>
      </c>
      <c r="H27" s="238">
        <f>'3.sz.m Önk  bev.'!H26+'5.2 sz. m ÁMK'!G12</f>
        <v>252928</v>
      </c>
      <c r="I27" s="238">
        <f>'3.sz.m Önk  bev.'!I26+'5.2 sz. m ÁMK'!H12</f>
        <v>0</v>
      </c>
      <c r="J27" s="238">
        <f>'3.sz.m Önk  bev.'!J26+'5.2 sz. m ÁMK'!I12</f>
        <v>0</v>
      </c>
      <c r="K27" s="309">
        <f>'3.sz.m Önk  bev.'!L26</f>
        <v>829648</v>
      </c>
      <c r="L27" s="238">
        <f>'3.sz.m Önk  bev.'!M26</f>
        <v>829648</v>
      </c>
      <c r="M27" s="238">
        <f>'3.sz.m Önk  bev.'!N26</f>
        <v>829648</v>
      </c>
      <c r="N27" s="238">
        <f>'3.sz.m Önk  bev.'!O26</f>
        <v>252928</v>
      </c>
      <c r="O27" s="238">
        <f>'3.sz.m Önk  bev.'!P26+'5.2 sz. m ÁMK'!P12</f>
        <v>0</v>
      </c>
      <c r="P27" s="238">
        <f>'3.sz.m Önk  bev.'!Q26+'5.2 sz. m ÁMK'!Q12</f>
        <v>0</v>
      </c>
      <c r="Q27" s="866">
        <f>'3.sz.m Önk  bev.'!R26+'5.2 sz. m ÁMK'!R12</f>
        <v>0</v>
      </c>
      <c r="R27" s="309">
        <v>0</v>
      </c>
      <c r="S27" s="238">
        <v>0</v>
      </c>
      <c r="T27" s="238">
        <v>0</v>
      </c>
      <c r="U27" s="238">
        <v>0</v>
      </c>
      <c r="V27" s="238">
        <f>'3.sz.m Önk  bev.'!W26</f>
        <v>0</v>
      </c>
      <c r="W27" s="866">
        <f>'3.sz.m Önk  bev.'!X26</f>
        <v>0</v>
      </c>
      <c r="X27" s="309">
        <v>0</v>
      </c>
      <c r="Y27" s="238">
        <v>0</v>
      </c>
      <c r="Z27" s="238">
        <v>0</v>
      </c>
      <c r="AA27" s="238">
        <v>0</v>
      </c>
      <c r="AB27" s="238">
        <v>0</v>
      </c>
      <c r="AC27" s="238">
        <v>0</v>
      </c>
      <c r="AD27" s="866">
        <v>0</v>
      </c>
      <c r="AE27" s="950"/>
    </row>
    <row r="28" spans="1:31" ht="41.25" customHeight="1">
      <c r="A28" s="64"/>
      <c r="B28" s="60"/>
      <c r="C28" s="60" t="s">
        <v>447</v>
      </c>
      <c r="D28" s="270" t="s">
        <v>290</v>
      </c>
      <c r="E28" s="238">
        <f>'3.sz.m Önk  bev.'!E27</f>
        <v>495753</v>
      </c>
      <c r="F28" s="238">
        <f>'3.sz.m Önk  bev.'!F27</f>
        <v>495753</v>
      </c>
      <c r="G28" s="238">
        <f>'3.sz.m Önk  bev.'!G27</f>
        <v>495753</v>
      </c>
      <c r="H28" s="238">
        <f>'3.sz.m Önk  bev.'!H27</f>
        <v>390358</v>
      </c>
      <c r="I28" s="238">
        <f>'3.sz.m Önk  bev.'!I27</f>
        <v>0</v>
      </c>
      <c r="J28" s="238">
        <f>'3.sz.m Önk  bev.'!J27</f>
        <v>0</v>
      </c>
      <c r="K28" s="309">
        <f>'3.sz.m Önk  bev.'!L27</f>
        <v>495753</v>
      </c>
      <c r="L28" s="238">
        <f>'3.sz.m Önk  bev.'!M27</f>
        <v>495753</v>
      </c>
      <c r="M28" s="238">
        <f>'3.sz.m Önk  bev.'!N27</f>
        <v>495753</v>
      </c>
      <c r="N28" s="238">
        <f>'3.sz.m Önk  bev.'!O27</f>
        <v>390358</v>
      </c>
      <c r="O28" s="238">
        <f>'3.sz.m Önk  bev.'!P27</f>
        <v>0</v>
      </c>
      <c r="P28" s="238">
        <f>'3.sz.m Önk  bev.'!Q27</f>
        <v>0</v>
      </c>
      <c r="Q28" s="866">
        <f>'3.sz.m Önk  bev.'!R27</f>
        <v>0</v>
      </c>
      <c r="R28" s="309">
        <v>0</v>
      </c>
      <c r="S28" s="238">
        <v>0</v>
      </c>
      <c r="T28" s="238">
        <v>0</v>
      </c>
      <c r="U28" s="238">
        <v>0</v>
      </c>
      <c r="V28" s="238"/>
      <c r="W28" s="866"/>
      <c r="X28" s="309">
        <v>0</v>
      </c>
      <c r="Y28" s="238">
        <v>0</v>
      </c>
      <c r="Z28" s="238">
        <v>0</v>
      </c>
      <c r="AA28" s="238">
        <v>0</v>
      </c>
      <c r="AB28" s="238">
        <v>0</v>
      </c>
      <c r="AC28" s="238">
        <v>0</v>
      </c>
      <c r="AD28" s="866">
        <v>0</v>
      </c>
      <c r="AE28" s="950"/>
    </row>
    <row r="29" spans="1:31" ht="21.75" customHeight="1">
      <c r="A29" s="64"/>
      <c r="B29" s="60"/>
      <c r="C29" s="60" t="s">
        <v>448</v>
      </c>
      <c r="D29" s="270" t="s">
        <v>458</v>
      </c>
      <c r="E29" s="238">
        <f>'3.sz.m Önk  bev.'!E28</f>
        <v>0</v>
      </c>
      <c r="F29" s="238">
        <f>'3.sz.m Önk  bev.'!F28</f>
        <v>0</v>
      </c>
      <c r="G29" s="238">
        <f>'3.sz.m Önk  bev.'!G28</f>
        <v>0</v>
      </c>
      <c r="H29" s="238">
        <f>'3.sz.m Önk  bev.'!H28</f>
        <v>0</v>
      </c>
      <c r="I29" s="238">
        <f>'3.sz.m Önk  bev.'!I28</f>
        <v>0</v>
      </c>
      <c r="J29" s="238">
        <f>'3.sz.m Önk  bev.'!J28</f>
        <v>0</v>
      </c>
      <c r="K29" s="309">
        <f>'3.sz.m Önk  bev.'!L28</f>
        <v>0</v>
      </c>
      <c r="L29" s="238">
        <f>'3.sz.m Önk  bev.'!M28</f>
        <v>0</v>
      </c>
      <c r="M29" s="238">
        <f>'3.sz.m Önk  bev.'!N28</f>
        <v>0</v>
      </c>
      <c r="N29" s="238">
        <f>'3.sz.m Önk  bev.'!O28</f>
        <v>0</v>
      </c>
      <c r="O29" s="238">
        <f>'3.sz.m Önk  bev.'!P28</f>
        <v>0</v>
      </c>
      <c r="P29" s="238">
        <f>'3.sz.m Önk  bev.'!Q28</f>
        <v>0</v>
      </c>
      <c r="Q29" s="866">
        <f>'3.sz.m Önk  bev.'!R28</f>
        <v>2</v>
      </c>
      <c r="R29" s="309">
        <v>0</v>
      </c>
      <c r="S29" s="238">
        <v>0</v>
      </c>
      <c r="T29" s="238">
        <v>0</v>
      </c>
      <c r="U29" s="238">
        <v>0</v>
      </c>
      <c r="V29" s="238"/>
      <c r="W29" s="866"/>
      <c r="X29" s="309">
        <v>0</v>
      </c>
      <c r="Y29" s="238">
        <v>0</v>
      </c>
      <c r="Z29" s="238">
        <v>0</v>
      </c>
      <c r="AA29" s="238">
        <v>0</v>
      </c>
      <c r="AB29" s="238">
        <v>0</v>
      </c>
      <c r="AC29" s="238">
        <v>0</v>
      </c>
      <c r="AD29" s="866">
        <v>0</v>
      </c>
      <c r="AE29" s="950"/>
    </row>
    <row r="30" spans="1:31" ht="21.75" customHeight="1">
      <c r="A30" s="64"/>
      <c r="B30" s="60" t="s">
        <v>292</v>
      </c>
      <c r="C30" s="1302" t="s">
        <v>291</v>
      </c>
      <c r="D30" s="1302"/>
      <c r="E30" s="238">
        <f>'3.sz.m Önk  bev.'!E29+'5.2 sz. m ÁMK'!D14</f>
        <v>7601037</v>
      </c>
      <c r="F30" s="238">
        <f>'3.sz.m Önk  bev.'!F29+'5.2 sz. m ÁMK'!E14</f>
        <v>7601037</v>
      </c>
      <c r="G30" s="238">
        <f>'3.sz.m Önk  bev.'!G29+'5.2 sz. m ÁMK'!F14</f>
        <v>7601037</v>
      </c>
      <c r="H30" s="238">
        <f>'3.sz.m Önk  bev.'!H29+'5.2 sz. m ÁMK'!G14</f>
        <v>7245182</v>
      </c>
      <c r="I30" s="238">
        <f>'3.sz.m Önk  bev.'!I29+'5.2 sz. m ÁMK'!H14</f>
        <v>0</v>
      </c>
      <c r="J30" s="238">
        <f>'3.sz.m Önk  bev.'!J29+'5.2 sz. m ÁMK'!I14</f>
        <v>0</v>
      </c>
      <c r="K30" s="307">
        <f>+E30-R30</f>
        <v>7601037</v>
      </c>
      <c r="L30" s="236">
        <f>+F30-S30</f>
        <v>7601037</v>
      </c>
      <c r="M30" s="236">
        <f>+G30-T30</f>
        <v>7601037</v>
      </c>
      <c r="N30" s="236">
        <f>+H30-U30</f>
        <v>7245182</v>
      </c>
      <c r="O30" s="238">
        <f>'3.sz.m Önk  bev.'!P29+'5.2 sz. m ÁMK'!P14</f>
        <v>0</v>
      </c>
      <c r="P30" s="238">
        <f>'3.sz.m Önk  bev.'!Q29+'5.2 sz. m ÁMK'!Q14</f>
        <v>-81000</v>
      </c>
      <c r="Q30" s="866">
        <f>'3.sz.m Önk  bev.'!R29+'5.2 sz. m ÁMK'!R14</f>
        <v>0</v>
      </c>
      <c r="R30" s="309">
        <v>0</v>
      </c>
      <c r="S30" s="238">
        <v>0</v>
      </c>
      <c r="T30" s="238">
        <v>0</v>
      </c>
      <c r="U30" s="238">
        <v>0</v>
      </c>
      <c r="V30" s="238"/>
      <c r="W30" s="866">
        <f>+'3.sz.m Önk  bev.'!X29</f>
        <v>81000</v>
      </c>
      <c r="X30" s="309">
        <v>0</v>
      </c>
      <c r="Y30" s="238">
        <v>0</v>
      </c>
      <c r="Z30" s="238">
        <v>0</v>
      </c>
      <c r="AA30" s="238">
        <v>0</v>
      </c>
      <c r="AB30" s="238">
        <v>0</v>
      </c>
      <c r="AC30" s="238">
        <v>0</v>
      </c>
      <c r="AD30" s="866">
        <v>0</v>
      </c>
      <c r="AE30" s="950"/>
    </row>
    <row r="31" spans="1:31" ht="21.75" customHeight="1" hidden="1">
      <c r="A31" s="68"/>
      <c r="B31" s="69" t="s">
        <v>294</v>
      </c>
      <c r="C31" s="1302" t="s">
        <v>293</v>
      </c>
      <c r="D31" s="1307"/>
      <c r="E31" s="238">
        <f>'3.sz.m Önk  bev.'!E30</f>
        <v>0</v>
      </c>
      <c r="F31" s="238">
        <f>'3.sz.m Önk  bev.'!F30</f>
        <v>229308</v>
      </c>
      <c r="G31" s="238">
        <f>'3.sz.m Önk  bev.'!G30</f>
        <v>229308</v>
      </c>
      <c r="H31" s="238">
        <f>'3.sz.m Önk  bev.'!H30</f>
        <v>229308</v>
      </c>
      <c r="I31" s="238"/>
      <c r="J31" s="238"/>
      <c r="K31" s="309">
        <f>'3.sz.m Önk  bev.'!L30</f>
        <v>0</v>
      </c>
      <c r="L31" s="238">
        <f>'3.sz.m Önk  bev.'!M30</f>
        <v>229308</v>
      </c>
      <c r="M31" s="238">
        <f>'3.sz.m Önk  bev.'!N30</f>
        <v>229308</v>
      </c>
      <c r="N31" s="238">
        <f>'3.sz.m Önk  bev.'!O30</f>
        <v>229308</v>
      </c>
      <c r="O31" s="238">
        <f>'3.sz.m Önk  bev.'!O30</f>
        <v>229308</v>
      </c>
      <c r="P31" s="238">
        <f>'3.sz.m Önk  bev.'!P30</f>
        <v>0</v>
      </c>
      <c r="Q31" s="866">
        <f>'3.sz.m Önk  bev.'!Q30</f>
        <v>0</v>
      </c>
      <c r="R31" s="309">
        <v>0</v>
      </c>
      <c r="S31" s="238">
        <v>0</v>
      </c>
      <c r="T31" s="238">
        <v>0</v>
      </c>
      <c r="U31" s="238">
        <v>0</v>
      </c>
      <c r="V31" s="238"/>
      <c r="W31" s="866"/>
      <c r="X31" s="309">
        <v>0</v>
      </c>
      <c r="Y31" s="238">
        <v>0</v>
      </c>
      <c r="Z31" s="238">
        <v>0</v>
      </c>
      <c r="AA31" s="238">
        <v>0</v>
      </c>
      <c r="AB31" s="238">
        <v>0</v>
      </c>
      <c r="AC31" s="238">
        <v>0</v>
      </c>
      <c r="AD31" s="866">
        <v>0</v>
      </c>
      <c r="AE31" s="950"/>
    </row>
    <row r="32" spans="1:31" ht="21.75" customHeight="1">
      <c r="A32" s="68"/>
      <c r="B32" s="69" t="s">
        <v>294</v>
      </c>
      <c r="C32" s="1302" t="s">
        <v>295</v>
      </c>
      <c r="D32" s="1307"/>
      <c r="E32" s="238">
        <f>'3.sz.m Önk  bev.'!E31+'5.1 sz. m Köz Hiv'!D12+'5.2 sz. m ÁMK'!D15</f>
        <v>100100</v>
      </c>
      <c r="F32" s="238">
        <f>'3.sz.m Önk  bev.'!F31+'5.1 sz. m Köz Hiv'!E12+'5.2 sz. m ÁMK'!E15</f>
        <v>100200</v>
      </c>
      <c r="G32" s="238">
        <f>'3.sz.m Önk  bev.'!G31+'5.1 sz. m Köz Hiv'!F12+'5.2 sz. m ÁMK'!F15</f>
        <v>100200</v>
      </c>
      <c r="H32" s="238">
        <f>'3.sz.m Önk  bev.'!H31+'5.1 sz. m Köz Hiv'!G12+'5.2 sz. m ÁMK'!G15</f>
        <v>100200</v>
      </c>
      <c r="I32" s="238">
        <f>'3.sz.m Önk  bev.'!I31+'5.1 sz. m Köz Hiv'!H12+'5.2 sz. m ÁMK'!H15</f>
        <v>0</v>
      </c>
      <c r="J32" s="238">
        <f>'3.sz.m Önk  bev.'!J31+'5.1 sz. m Köz Hiv'!I12+'5.2 sz. m ÁMK'!I15</f>
        <v>0</v>
      </c>
      <c r="K32" s="307">
        <f aca="true" t="shared" si="13" ref="K32:N33">+E32-R32</f>
        <v>100100</v>
      </c>
      <c r="L32" s="236">
        <f t="shared" si="13"/>
        <v>100200</v>
      </c>
      <c r="M32" s="236">
        <f t="shared" si="13"/>
        <v>100200</v>
      </c>
      <c r="N32" s="236">
        <f t="shared" si="13"/>
        <v>100200</v>
      </c>
      <c r="O32" s="238">
        <f>'3.sz.m Önk  bev.'!P31+'5.1 sz. m Köz Hiv'!P12+'5.2 sz. m ÁMK'!P15</f>
        <v>0</v>
      </c>
      <c r="P32" s="238">
        <f>'3.sz.m Önk  bev.'!Q31+'5.1 sz. m Köz Hiv'!Q12+'5.2 sz. m ÁMK'!Q15</f>
        <v>0</v>
      </c>
      <c r="Q32" s="866">
        <f>'3.sz.m Önk  bev.'!R31+'5.1 sz. m Köz Hiv'!R12+'5.2 sz. m ÁMK'!R15</f>
        <v>0</v>
      </c>
      <c r="R32" s="309">
        <v>0</v>
      </c>
      <c r="S32" s="238">
        <v>0</v>
      </c>
      <c r="T32" s="238">
        <v>0</v>
      </c>
      <c r="U32" s="238">
        <v>0</v>
      </c>
      <c r="V32" s="238"/>
      <c r="W32" s="866"/>
      <c r="X32" s="309">
        <v>0</v>
      </c>
      <c r="Y32" s="238">
        <v>0</v>
      </c>
      <c r="Z32" s="238">
        <v>0</v>
      </c>
      <c r="AA32" s="238">
        <v>0</v>
      </c>
      <c r="AB32" s="238">
        <v>0</v>
      </c>
      <c r="AC32" s="238">
        <v>0</v>
      </c>
      <c r="AD32" s="866">
        <v>0</v>
      </c>
      <c r="AE32" s="950"/>
    </row>
    <row r="33" spans="1:31" ht="21.75" customHeight="1">
      <c r="A33" s="68"/>
      <c r="B33" s="69" t="s">
        <v>449</v>
      </c>
      <c r="C33" s="1301" t="s">
        <v>67</v>
      </c>
      <c r="D33" s="1301"/>
      <c r="E33" s="238">
        <f>'3.sz.m Önk  bev.'!E32+'5.1 sz. m Köz Hiv'!D13+'5.2 sz. m ÁMK'!D16</f>
        <v>22190821</v>
      </c>
      <c r="F33" s="238">
        <f>'3.sz.m Önk  bev.'!F32+'5.1 sz. m Köz Hiv'!E13+'5.2 sz. m ÁMK'!E16</f>
        <v>10322770</v>
      </c>
      <c r="G33" s="238">
        <f>'3.sz.m Önk  bev.'!G32+'5.1 sz. m Köz Hiv'!F13+'5.2 sz. m ÁMK'!F16</f>
        <v>5924766</v>
      </c>
      <c r="H33" s="238">
        <f>'3.sz.m Önk  bev.'!H32+'5.1 sz. m Köz Hiv'!G13+'5.2 sz. m ÁMK'!G16</f>
        <v>1099512</v>
      </c>
      <c r="I33" s="238">
        <f>'3.sz.m Önk  bev.'!I32+'5.1 sz. m Köz Hiv'!H13+'5.2 sz. m ÁMK'!H16</f>
        <v>0</v>
      </c>
      <c r="J33" s="238">
        <f>'3.sz.m Önk  bev.'!J32+'5.1 sz. m Köz Hiv'!I13+'5.2 sz. m ÁMK'!I16</f>
        <v>0</v>
      </c>
      <c r="K33" s="307">
        <f t="shared" si="13"/>
        <v>22190821</v>
      </c>
      <c r="L33" s="236">
        <f t="shared" si="13"/>
        <v>10322770</v>
      </c>
      <c r="M33" s="236">
        <f t="shared" si="13"/>
        <v>5924766</v>
      </c>
      <c r="N33" s="236">
        <f t="shared" si="13"/>
        <v>1099512</v>
      </c>
      <c r="O33" s="238">
        <f>'3.sz.m Önk  bev.'!P32</f>
        <v>0</v>
      </c>
      <c r="P33" s="238">
        <f>'3.sz.m Önk  bev.'!Q32</f>
        <v>0</v>
      </c>
      <c r="Q33" s="866">
        <f>'3.sz.m Önk  bev.'!R32</f>
        <v>0</v>
      </c>
      <c r="R33" s="309">
        <v>0</v>
      </c>
      <c r="S33" s="238">
        <v>0</v>
      </c>
      <c r="T33" s="238">
        <v>0</v>
      </c>
      <c r="U33" s="238">
        <v>0</v>
      </c>
      <c r="V33" s="238"/>
      <c r="W33" s="866"/>
      <c r="X33" s="309">
        <v>0</v>
      </c>
      <c r="Y33" s="238">
        <v>0</v>
      </c>
      <c r="Z33" s="238">
        <v>0</v>
      </c>
      <c r="AA33" s="238">
        <v>0</v>
      </c>
      <c r="AB33" s="238">
        <v>0</v>
      </c>
      <c r="AC33" s="238">
        <v>0</v>
      </c>
      <c r="AD33" s="866">
        <v>0</v>
      </c>
      <c r="AE33" s="950"/>
    </row>
    <row r="34" spans="1:31" ht="21.75" customHeight="1" thickBot="1">
      <c r="A34" s="68"/>
      <c r="B34" s="69" t="s">
        <v>485</v>
      </c>
      <c r="C34" s="1302" t="s">
        <v>484</v>
      </c>
      <c r="D34" s="1307"/>
      <c r="E34" s="238"/>
      <c r="F34" s="238"/>
      <c r="G34" s="238"/>
      <c r="H34" s="238"/>
      <c r="I34" s="238">
        <f>'3.sz.m Önk  bev.'!I30</f>
        <v>0</v>
      </c>
      <c r="J34" s="238">
        <f>'3.sz.m Önk  bev.'!J30</f>
        <v>0</v>
      </c>
      <c r="K34" s="309"/>
      <c r="L34" s="238"/>
      <c r="M34" s="238"/>
      <c r="N34" s="238"/>
      <c r="O34" s="238">
        <f>'3.sz.m Önk  bev.'!P30</f>
        <v>0</v>
      </c>
      <c r="P34" s="238">
        <f>+'3.sz.m Önk  bev.'!Q30</f>
        <v>0</v>
      </c>
      <c r="Q34" s="866"/>
      <c r="R34" s="309"/>
      <c r="S34" s="238"/>
      <c r="T34" s="238"/>
      <c r="U34" s="238"/>
      <c r="V34" s="238"/>
      <c r="W34" s="866"/>
      <c r="X34" s="309"/>
      <c r="Y34" s="238"/>
      <c r="Z34" s="238"/>
      <c r="AA34" s="238"/>
      <c r="AB34" s="238"/>
      <c r="AC34" s="238"/>
      <c r="AD34" s="866"/>
      <c r="AE34" s="950"/>
    </row>
    <row r="35" spans="1:31" ht="42.75" customHeight="1" thickBot="1">
      <c r="A35" s="71" t="s">
        <v>9</v>
      </c>
      <c r="B35" s="1296" t="s">
        <v>296</v>
      </c>
      <c r="C35" s="1296"/>
      <c r="D35" s="1296"/>
      <c r="E35" s="301">
        <f aca="true" t="shared" si="14" ref="E35:P35">SUM(E36:E40)</f>
        <v>326093376</v>
      </c>
      <c r="F35" s="74">
        <f t="shared" si="14"/>
        <v>337958427</v>
      </c>
      <c r="G35" s="74">
        <f t="shared" si="14"/>
        <v>356929703</v>
      </c>
      <c r="H35" s="74">
        <f>SUM(H36:H40)</f>
        <v>363160225</v>
      </c>
      <c r="I35" s="74">
        <f t="shared" si="14"/>
        <v>0</v>
      </c>
      <c r="J35" s="74">
        <f t="shared" si="14"/>
        <v>0</v>
      </c>
      <c r="K35" s="301">
        <f t="shared" si="14"/>
        <v>321280777</v>
      </c>
      <c r="L35" s="74">
        <f>SUM(L36:L40)</f>
        <v>333145828</v>
      </c>
      <c r="M35" s="74">
        <f>SUM(M36:M40)</f>
        <v>352117104</v>
      </c>
      <c r="N35" s="74">
        <f>SUM(N36:N40)</f>
        <v>358347625</v>
      </c>
      <c r="O35" s="74">
        <f t="shared" si="14"/>
        <v>0</v>
      </c>
      <c r="P35" s="74">
        <f t="shared" si="14"/>
        <v>0</v>
      </c>
      <c r="Q35" s="657">
        <f t="shared" si="4"/>
        <v>0</v>
      </c>
      <c r="R35" s="301">
        <f>SUM(R36:R40)</f>
        <v>4812599</v>
      </c>
      <c r="S35" s="74">
        <f>SUM(S36:S40)</f>
        <v>4812599</v>
      </c>
      <c r="T35" s="74">
        <f>SUM(T36:T40)</f>
        <v>4812599</v>
      </c>
      <c r="U35" s="74">
        <f>SUM(U36:U40)</f>
        <v>4812600</v>
      </c>
      <c r="V35" s="74"/>
      <c r="W35" s="728"/>
      <c r="X35" s="301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728">
        <v>0</v>
      </c>
      <c r="AE35" s="950"/>
    </row>
    <row r="36" spans="1:31" ht="21.75" customHeight="1">
      <c r="A36" s="65"/>
      <c r="B36" s="69" t="s">
        <v>40</v>
      </c>
      <c r="C36" s="1315" t="s">
        <v>297</v>
      </c>
      <c r="D36" s="1316"/>
      <c r="E36" s="309">
        <f>'3.sz.m Önk  bev.'!E34</f>
        <v>294726379</v>
      </c>
      <c r="F36" s="238">
        <f>'3.sz.m Önk  bev.'!F34</f>
        <v>306591430</v>
      </c>
      <c r="G36" s="238">
        <f>'3.sz.m Önk  bev.'!G34</f>
        <v>323765090</v>
      </c>
      <c r="H36" s="238">
        <f>'3.sz.m Önk  bev.'!H34</f>
        <v>328365110</v>
      </c>
      <c r="I36" s="238">
        <f>'3.sz.m Önk  bev.'!I34</f>
        <v>0</v>
      </c>
      <c r="J36" s="238">
        <f>'3.sz.m Önk  bev.'!J34</f>
        <v>0</v>
      </c>
      <c r="K36" s="309">
        <f>'3.sz.m Önk  bev.'!L34</f>
        <v>294726379</v>
      </c>
      <c r="L36" s="238">
        <f>'3.sz.m Önk  bev.'!M34</f>
        <v>306591430</v>
      </c>
      <c r="M36" s="238">
        <f>'3.sz.m Önk  bev.'!N34</f>
        <v>323765090</v>
      </c>
      <c r="N36" s="238">
        <f>'3.sz.m Önk  bev.'!O34</f>
        <v>328365110</v>
      </c>
      <c r="O36" s="238">
        <f>'3.sz.m Önk  bev.'!P34</f>
        <v>0</v>
      </c>
      <c r="P36" s="238">
        <f>'3.sz.m Önk  bev.'!Q34</f>
        <v>0</v>
      </c>
      <c r="Q36" s="658">
        <f t="shared" si="4"/>
        <v>0</v>
      </c>
      <c r="R36" s="308">
        <f>'3.sz.m Önk  bev.'!S36</f>
        <v>0</v>
      </c>
      <c r="S36" s="237">
        <f>'3.sz.m Önk  bev.'!T36</f>
        <v>0</v>
      </c>
      <c r="T36" s="237">
        <f>'3.sz.m Önk  bev.'!U36</f>
        <v>0</v>
      </c>
      <c r="U36" s="237">
        <f>'3.sz.m Önk  bev.'!V36</f>
        <v>0</v>
      </c>
      <c r="V36" s="238"/>
      <c r="W36" s="866"/>
      <c r="X36" s="309">
        <v>0</v>
      </c>
      <c r="Y36" s="238">
        <v>0</v>
      </c>
      <c r="Z36" s="238">
        <v>0</v>
      </c>
      <c r="AA36" s="238">
        <v>0</v>
      </c>
      <c r="AB36" s="238">
        <v>0</v>
      </c>
      <c r="AC36" s="238">
        <v>0</v>
      </c>
      <c r="AD36" s="866">
        <v>0</v>
      </c>
      <c r="AE36" s="950"/>
    </row>
    <row r="37" spans="1:31" ht="21.75" customHeight="1">
      <c r="A37" s="64"/>
      <c r="B37" s="69" t="s">
        <v>41</v>
      </c>
      <c r="C37" s="1302" t="s">
        <v>453</v>
      </c>
      <c r="D37" s="1307"/>
      <c r="E37" s="309">
        <f>'3.sz.m Önk  bev.'!E35</f>
        <v>0</v>
      </c>
      <c r="F37" s="238">
        <f>'3.sz.m Önk  bev.'!F35</f>
        <v>0</v>
      </c>
      <c r="G37" s="238">
        <f>'3.sz.m Önk  bev.'!G35</f>
        <v>0</v>
      </c>
      <c r="H37" s="238">
        <f>'3.sz.m Önk  bev.'!H35</f>
        <v>1714500</v>
      </c>
      <c r="I37" s="238">
        <f>'3.sz.m Önk  bev.'!I35</f>
        <v>0</v>
      </c>
      <c r="J37" s="238">
        <f>'3.sz.m Önk  bev.'!J35</f>
        <v>0</v>
      </c>
      <c r="K37" s="309">
        <f>'3.sz.m Önk  bev.'!L35</f>
        <v>0</v>
      </c>
      <c r="L37" s="238">
        <f>'3.sz.m Önk  bev.'!M35</f>
        <v>0</v>
      </c>
      <c r="M37" s="238">
        <f>'3.sz.m Önk  bev.'!N35</f>
        <v>0</v>
      </c>
      <c r="N37" s="238">
        <f>'3.sz.m Önk  bev.'!O35</f>
        <v>1714500</v>
      </c>
      <c r="O37" s="238">
        <f>'3.sz.m Önk  bev.'!P35</f>
        <v>0</v>
      </c>
      <c r="P37" s="238">
        <f>'3.sz.m Önk  bev.'!Q35</f>
        <v>0</v>
      </c>
      <c r="Q37" s="659">
        <f t="shared" si="4"/>
        <v>0</v>
      </c>
      <c r="R37" s="309">
        <v>0</v>
      </c>
      <c r="S37" s="238">
        <v>0</v>
      </c>
      <c r="T37" s="238">
        <v>0</v>
      </c>
      <c r="U37" s="238">
        <v>0</v>
      </c>
      <c r="V37" s="238"/>
      <c r="W37" s="866"/>
      <c r="X37" s="309">
        <v>0</v>
      </c>
      <c r="Y37" s="238">
        <v>0</v>
      </c>
      <c r="Z37" s="238">
        <v>0</v>
      </c>
      <c r="AA37" s="238">
        <v>0</v>
      </c>
      <c r="AB37" s="238">
        <v>0</v>
      </c>
      <c r="AC37" s="238">
        <v>0</v>
      </c>
      <c r="AD37" s="866">
        <v>0</v>
      </c>
      <c r="AE37" s="950"/>
    </row>
    <row r="38" spans="1:31" ht="21.75" customHeight="1">
      <c r="A38" s="64"/>
      <c r="B38" s="69" t="s">
        <v>64</v>
      </c>
      <c r="C38" s="1302" t="s">
        <v>538</v>
      </c>
      <c r="D38" s="1302"/>
      <c r="E38" s="309">
        <f>'3.sz.m Önk  bev.'!E36</f>
        <v>0</v>
      </c>
      <c r="F38" s="238">
        <f>'3.sz.m Önk  bev.'!F36</f>
        <v>0</v>
      </c>
      <c r="G38" s="238">
        <f>'3.sz.m Önk  bev.'!G36</f>
        <v>622616</v>
      </c>
      <c r="H38" s="238">
        <f>'3.sz.m Önk  bev.'!H36</f>
        <v>622616</v>
      </c>
      <c r="I38" s="238">
        <f>'3.sz.m Önk  bev.'!I36</f>
        <v>0</v>
      </c>
      <c r="J38" s="238">
        <f>'3.sz.m Önk  bev.'!J36</f>
        <v>0</v>
      </c>
      <c r="K38" s="309">
        <f>'3.sz.m Önk  bev.'!L36</f>
        <v>0</v>
      </c>
      <c r="L38" s="238">
        <f>'3.sz.m Önk  bev.'!M36</f>
        <v>0</v>
      </c>
      <c r="M38" s="238">
        <f>'3.sz.m Önk  bev.'!N36</f>
        <v>622616</v>
      </c>
      <c r="N38" s="238">
        <f>'3.sz.m Önk  bev.'!O36</f>
        <v>622616</v>
      </c>
      <c r="O38" s="238">
        <f>'3.sz.m Önk  bev.'!P36</f>
        <v>0</v>
      </c>
      <c r="P38" s="238">
        <f>'3.sz.m Önk  bev.'!Q36</f>
        <v>0</v>
      </c>
      <c r="Q38" s="659">
        <f t="shared" si="4"/>
        <v>0</v>
      </c>
      <c r="R38" s="309">
        <v>0</v>
      </c>
      <c r="S38" s="238">
        <v>0</v>
      </c>
      <c r="T38" s="238">
        <v>0</v>
      </c>
      <c r="U38" s="238">
        <v>0</v>
      </c>
      <c r="V38" s="238"/>
      <c r="W38" s="866"/>
      <c r="X38" s="309">
        <v>0</v>
      </c>
      <c r="Y38" s="238">
        <v>0</v>
      </c>
      <c r="Z38" s="238">
        <v>0</v>
      </c>
      <c r="AA38" s="238">
        <v>0</v>
      </c>
      <c r="AB38" s="238">
        <v>0</v>
      </c>
      <c r="AC38" s="238">
        <v>0</v>
      </c>
      <c r="AD38" s="866">
        <v>0</v>
      </c>
      <c r="AE38" s="950"/>
    </row>
    <row r="39" spans="1:31" ht="21.75" customHeight="1">
      <c r="A39" s="64"/>
      <c r="B39" s="69" t="s">
        <v>65</v>
      </c>
      <c r="C39" s="1302" t="s">
        <v>337</v>
      </c>
      <c r="D39" s="1307"/>
      <c r="E39" s="309"/>
      <c r="F39" s="238"/>
      <c r="G39" s="238"/>
      <c r="H39" s="238"/>
      <c r="I39" s="238">
        <f>'3.sz.m Önk  bev.'!I37</f>
        <v>0</v>
      </c>
      <c r="J39" s="238">
        <f>'3.sz.m Önk  bev.'!J37</f>
        <v>0</v>
      </c>
      <c r="K39" s="309"/>
      <c r="L39" s="238"/>
      <c r="M39" s="238"/>
      <c r="N39" s="238"/>
      <c r="O39" s="238"/>
      <c r="P39" s="238"/>
      <c r="Q39" s="659"/>
      <c r="R39" s="309">
        <v>0</v>
      </c>
      <c r="S39" s="238">
        <v>0</v>
      </c>
      <c r="T39" s="238">
        <v>0</v>
      </c>
      <c r="U39" s="238">
        <v>0</v>
      </c>
      <c r="V39" s="238"/>
      <c r="W39" s="866"/>
      <c r="X39" s="309">
        <v>0</v>
      </c>
      <c r="Y39" s="238">
        <v>0</v>
      </c>
      <c r="Z39" s="238">
        <v>0</v>
      </c>
      <c r="AA39" s="238">
        <v>0</v>
      </c>
      <c r="AB39" s="238">
        <v>0</v>
      </c>
      <c r="AC39" s="238">
        <v>0</v>
      </c>
      <c r="AD39" s="866">
        <v>0</v>
      </c>
      <c r="AE39" s="950"/>
    </row>
    <row r="40" spans="1:31" ht="45.75" customHeight="1">
      <c r="A40" s="64"/>
      <c r="B40" s="69" t="s">
        <v>333</v>
      </c>
      <c r="C40" s="1302" t="s">
        <v>298</v>
      </c>
      <c r="D40" s="1307"/>
      <c r="E40" s="309">
        <f aca="true" t="shared" si="15" ref="E40:P40">SUM(E41:E43)</f>
        <v>31366997</v>
      </c>
      <c r="F40" s="238">
        <f t="shared" si="15"/>
        <v>31366997</v>
      </c>
      <c r="G40" s="238">
        <f t="shared" si="15"/>
        <v>32541997</v>
      </c>
      <c r="H40" s="238">
        <f>SUM(H41:H43)</f>
        <v>32457999</v>
      </c>
      <c r="I40" s="238">
        <f t="shared" si="15"/>
        <v>0</v>
      </c>
      <c r="J40" s="238">
        <f t="shared" si="15"/>
        <v>0</v>
      </c>
      <c r="K40" s="309">
        <f t="shared" si="15"/>
        <v>26554398</v>
      </c>
      <c r="L40" s="238">
        <f>SUM(L41:L43)</f>
        <v>26554398</v>
      </c>
      <c r="M40" s="238">
        <f>SUM(M41:M43)</f>
        <v>27729398</v>
      </c>
      <c r="N40" s="238">
        <f>SUM(N41:N43)</f>
        <v>27645399</v>
      </c>
      <c r="O40" s="238">
        <f t="shared" si="15"/>
        <v>0</v>
      </c>
      <c r="P40" s="238">
        <f t="shared" si="15"/>
        <v>0</v>
      </c>
      <c r="Q40" s="659">
        <f t="shared" si="4"/>
        <v>0</v>
      </c>
      <c r="R40" s="309">
        <f>SUM(R41:R43)</f>
        <v>4812599</v>
      </c>
      <c r="S40" s="238">
        <f>SUM(S41:S43)</f>
        <v>4812599</v>
      </c>
      <c r="T40" s="238">
        <f>SUM(T41:T43)</f>
        <v>4812599</v>
      </c>
      <c r="U40" s="238">
        <f>SUM(U41:U43)</f>
        <v>4812600</v>
      </c>
      <c r="V40" s="238"/>
      <c r="W40" s="866"/>
      <c r="X40" s="309">
        <v>0</v>
      </c>
      <c r="Y40" s="238">
        <v>0</v>
      </c>
      <c r="Z40" s="238">
        <v>0</v>
      </c>
      <c r="AA40" s="238">
        <v>0</v>
      </c>
      <c r="AB40" s="238">
        <v>0</v>
      </c>
      <c r="AC40" s="238">
        <v>0</v>
      </c>
      <c r="AD40" s="866">
        <v>0</v>
      </c>
      <c r="AE40" s="950"/>
    </row>
    <row r="41" spans="1:31" ht="21.75" customHeight="1">
      <c r="A41" s="64"/>
      <c r="B41" s="69"/>
      <c r="C41" s="66" t="s">
        <v>334</v>
      </c>
      <c r="D41" s="531" t="s">
        <v>31</v>
      </c>
      <c r="E41" s="309">
        <f>'3.sz.m Önk  bev.'!E39</f>
        <v>12222000</v>
      </c>
      <c r="F41" s="238">
        <f>'3.sz.m Önk  bev.'!F39</f>
        <v>12222000</v>
      </c>
      <c r="G41" s="238">
        <f>'3.sz.m Önk  bev.'!G39</f>
        <v>13397000</v>
      </c>
      <c r="H41" s="238">
        <f>'3.sz.m Önk  bev.'!H39</f>
        <v>14713300</v>
      </c>
      <c r="I41" s="238">
        <f>'3.sz.m Önk  bev.'!I39</f>
        <v>0</v>
      </c>
      <c r="J41" s="238">
        <f>'3.sz.m Önk  bev.'!J39</f>
        <v>0</v>
      </c>
      <c r="K41" s="309">
        <f>'3.sz.m Önk  bev.'!L39</f>
        <v>12222000</v>
      </c>
      <c r="L41" s="238">
        <f>'3.sz.m Önk  bev.'!M39</f>
        <v>12222000</v>
      </c>
      <c r="M41" s="238">
        <f>'3.sz.m Önk  bev.'!N39</f>
        <v>13397000</v>
      </c>
      <c r="N41" s="238">
        <f>'3.sz.m Önk  bev.'!O39</f>
        <v>14713300</v>
      </c>
      <c r="O41" s="238">
        <f>'3.sz.m Önk  bev.'!P39</f>
        <v>0</v>
      </c>
      <c r="P41" s="238">
        <f>'3.sz.m Önk  bev.'!Q39</f>
        <v>0</v>
      </c>
      <c r="Q41" s="659">
        <f t="shared" si="4"/>
        <v>0</v>
      </c>
      <c r="R41" s="309">
        <v>0</v>
      </c>
      <c r="S41" s="238">
        <v>0</v>
      </c>
      <c r="T41" s="238">
        <v>0</v>
      </c>
      <c r="U41" s="238">
        <v>0</v>
      </c>
      <c r="V41" s="238"/>
      <c r="W41" s="866"/>
      <c r="X41" s="309">
        <v>0</v>
      </c>
      <c r="Y41" s="238">
        <v>0</v>
      </c>
      <c r="Z41" s="238">
        <v>0</v>
      </c>
      <c r="AA41" s="238">
        <v>0</v>
      </c>
      <c r="AB41" s="238">
        <v>0</v>
      </c>
      <c r="AC41" s="238">
        <v>0</v>
      </c>
      <c r="AD41" s="866">
        <v>0</v>
      </c>
      <c r="AE41" s="950"/>
    </row>
    <row r="42" spans="1:31" ht="21.75" customHeight="1">
      <c r="A42" s="64"/>
      <c r="B42" s="69"/>
      <c r="C42" s="60" t="s">
        <v>335</v>
      </c>
      <c r="D42" s="270" t="s">
        <v>30</v>
      </c>
      <c r="E42" s="309">
        <f>'3.sz.m Önk  bev.'!E40+'5.2 sz. m ÁMK'!D20</f>
        <v>11010599</v>
      </c>
      <c r="F42" s="238">
        <f>'3.sz.m Önk  bev.'!F40+'5.2 sz. m ÁMK'!E20</f>
        <v>11010599</v>
      </c>
      <c r="G42" s="238">
        <f>'3.sz.m Önk  bev.'!G40+'5.2 sz. m ÁMK'!F20</f>
        <v>11010599</v>
      </c>
      <c r="H42" s="238">
        <f>'3.sz.m Önk  bev.'!H40+'5.2 sz. m ÁMK'!G20</f>
        <v>11010600</v>
      </c>
      <c r="I42" s="238">
        <f>'3.sz.m Önk  bev.'!I40+'5.2 sz. m ÁMK'!H20</f>
        <v>0</v>
      </c>
      <c r="J42" s="238">
        <f>'3.sz.m Önk  bev.'!J40+'5.2 sz. m ÁMK'!I20</f>
        <v>0</v>
      </c>
      <c r="K42" s="309">
        <f>'3.sz.m Önk  bev.'!L40+'5.2 sz. m ÁMK'!L20</f>
        <v>6198000</v>
      </c>
      <c r="L42" s="238">
        <f>'3.sz.m Önk  bev.'!M40+'5.2 sz. m ÁMK'!M20</f>
        <v>6198000</v>
      </c>
      <c r="M42" s="238">
        <f>'3.sz.m Önk  bev.'!N40+'5.2 sz. m ÁMK'!N20</f>
        <v>6198000</v>
      </c>
      <c r="N42" s="238">
        <f>'3.sz.m Önk  bev.'!O40+'5.2 sz. m ÁMK'!O20</f>
        <v>6198000</v>
      </c>
      <c r="O42" s="238">
        <f>'3.sz.m Önk  bev.'!P40+'5.2 sz. m ÁMK'!P20</f>
        <v>0</v>
      </c>
      <c r="P42" s="238">
        <f>'3.sz.m Önk  bev.'!Q40+'5.2 sz. m ÁMK'!Q20</f>
        <v>0</v>
      </c>
      <c r="Q42" s="659"/>
      <c r="R42" s="308">
        <f>+'3.sz.m Önk  bev.'!S40</f>
        <v>4812599</v>
      </c>
      <c r="S42" s="237">
        <f>+'3.sz.m Önk  bev.'!T40</f>
        <v>4812599</v>
      </c>
      <c r="T42" s="237">
        <f>+'3.sz.m Önk  bev.'!U40</f>
        <v>4812599</v>
      </c>
      <c r="U42" s="237">
        <f>+'3.sz.m Önk  bev.'!V40</f>
        <v>4812600</v>
      </c>
      <c r="V42" s="238"/>
      <c r="W42" s="866"/>
      <c r="X42" s="309">
        <v>0</v>
      </c>
      <c r="Y42" s="238">
        <v>0</v>
      </c>
      <c r="Z42" s="238">
        <v>0</v>
      </c>
      <c r="AA42" s="238">
        <v>0</v>
      </c>
      <c r="AB42" s="238">
        <v>0</v>
      </c>
      <c r="AC42" s="238">
        <v>0</v>
      </c>
      <c r="AD42" s="866">
        <v>0</v>
      </c>
      <c r="AE42" s="950"/>
    </row>
    <row r="43" spans="1:31" ht="21.75" customHeight="1" thickBot="1">
      <c r="A43" s="64"/>
      <c r="B43" s="69"/>
      <c r="C43" s="60" t="s">
        <v>336</v>
      </c>
      <c r="D43" s="270" t="s">
        <v>32</v>
      </c>
      <c r="E43" s="309">
        <f>'3.sz.m Önk  bev.'!E41+'5.1 sz. m Köz Hiv'!D16</f>
        <v>8134398</v>
      </c>
      <c r="F43" s="309">
        <f>'3.sz.m Önk  bev.'!F41+'5.1 sz. m Köz Hiv'!E16</f>
        <v>8134398</v>
      </c>
      <c r="G43" s="309">
        <f>'3.sz.m Önk  bev.'!G41+'5.1 sz. m Köz Hiv'!F16</f>
        <v>8134398</v>
      </c>
      <c r="H43" s="309">
        <f>'3.sz.m Önk  bev.'!H41+'5.1 sz. m Köz Hiv'!G16</f>
        <v>6734099</v>
      </c>
      <c r="I43" s="309">
        <f>'3.sz.m Önk  bev.'!I41+'5.1 sz. m Köz Hiv'!H16+'5.2 sz. m ÁMK'!H19</f>
        <v>0</v>
      </c>
      <c r="J43" s="309">
        <f>'3.sz.m Önk  bev.'!J41+'5.1 sz. m Köz Hiv'!I16+'5.2 sz. m ÁMK'!I19</f>
        <v>0</v>
      </c>
      <c r="K43" s="309">
        <f>'3.sz.m Önk  bev.'!L41+'5.1 sz. m Köz Hiv'!L16</f>
        <v>8134398</v>
      </c>
      <c r="L43" s="238">
        <f>'3.sz.m Önk  bev.'!M41+'5.1 sz. m Köz Hiv'!M16</f>
        <v>8134398</v>
      </c>
      <c r="M43" s="238">
        <f>'3.sz.m Önk  bev.'!N41+'5.1 sz. m Köz Hiv'!N16</f>
        <v>8134398</v>
      </c>
      <c r="N43" s="238">
        <f>'3.sz.m Önk  bev.'!O41+'5.1 sz. m Köz Hiv'!O16</f>
        <v>6734099</v>
      </c>
      <c r="O43" s="238">
        <f>'3.sz.m Önk  bev.'!P41+'5.1 sz. m Köz Hiv'!P16+'5.2 sz. m ÁMK'!P19</f>
        <v>0</v>
      </c>
      <c r="P43" s="238">
        <f>'3.sz.m Önk  bev.'!Q41+'5.1 sz. m Köz Hiv'!Q16+'5.2 sz. m ÁMK'!Q19</f>
        <v>0</v>
      </c>
      <c r="Q43" s="660">
        <f t="shared" si="4"/>
        <v>0</v>
      </c>
      <c r="R43" s="309">
        <v>0</v>
      </c>
      <c r="S43" s="238">
        <v>0</v>
      </c>
      <c r="T43" s="238">
        <v>0</v>
      </c>
      <c r="U43" s="238">
        <v>0</v>
      </c>
      <c r="V43" s="238"/>
      <c r="W43" s="866"/>
      <c r="X43" s="309">
        <v>0</v>
      </c>
      <c r="Y43" s="238">
        <v>0</v>
      </c>
      <c r="Z43" s="238">
        <v>0</v>
      </c>
      <c r="AA43" s="238">
        <v>0</v>
      </c>
      <c r="AB43" s="238">
        <v>0</v>
      </c>
      <c r="AC43" s="238">
        <v>0</v>
      </c>
      <c r="AD43" s="866">
        <v>0</v>
      </c>
      <c r="AE43" s="950"/>
    </row>
    <row r="44" spans="1:31" ht="33" customHeight="1" thickBot="1">
      <c r="A44" s="71" t="s">
        <v>10</v>
      </c>
      <c r="B44" s="1321" t="s">
        <v>299</v>
      </c>
      <c r="C44" s="1321"/>
      <c r="D44" s="1321"/>
      <c r="E44" s="301">
        <f>SUM(E45:E46)</f>
        <v>1074492</v>
      </c>
      <c r="F44" s="74">
        <f>SUM(F45:F46)+F50</f>
        <v>1074492</v>
      </c>
      <c r="G44" s="74">
        <f>SUM(G45:G46)+G50</f>
        <v>8516873</v>
      </c>
      <c r="H44" s="74">
        <f>SUM(H45:H46)+H50</f>
        <v>46404339</v>
      </c>
      <c r="I44" s="74">
        <f>SUM(I45:I46)+I50</f>
        <v>164800474</v>
      </c>
      <c r="J44" s="74">
        <f>SUM(J45:J46)+J50</f>
        <v>0</v>
      </c>
      <c r="K44" s="301">
        <f>SUM(K45:K46)</f>
        <v>1074492</v>
      </c>
      <c r="L44" s="74">
        <f>SUM(L45:L46)</f>
        <v>1074492</v>
      </c>
      <c r="M44" s="74">
        <f>SUM(M45:M46)</f>
        <v>8516873</v>
      </c>
      <c r="N44" s="74">
        <f>SUM(N45:N46)</f>
        <v>46404339</v>
      </c>
      <c r="O44" s="74">
        <f>SUM(O45:O46)+O50</f>
        <v>164800474</v>
      </c>
      <c r="P44" s="74">
        <f>SUM(P45:P46)+P50</f>
        <v>0</v>
      </c>
      <c r="Q44" s="657">
        <f t="shared" si="4"/>
        <v>0</v>
      </c>
      <c r="R44" s="301">
        <f>SUM(R45:R46)</f>
        <v>0</v>
      </c>
      <c r="S44" s="74">
        <f>SUM(S45:S46)</f>
        <v>0</v>
      </c>
      <c r="T44" s="74">
        <f>SUM(T45:T46)</f>
        <v>0</v>
      </c>
      <c r="U44" s="74">
        <f>SUM(U45:U46)</f>
        <v>0</v>
      </c>
      <c r="V44" s="74">
        <f>SUM(V45:V46)+V50</f>
        <v>0</v>
      </c>
      <c r="W44" s="728">
        <f>SUM(W45:W46)+W50</f>
        <v>0</v>
      </c>
      <c r="X44" s="301">
        <f aca="true" t="shared" si="16" ref="X44:AD44">SUM(X45:X46)</f>
        <v>0</v>
      </c>
      <c r="Y44" s="74">
        <f>SUM(Y45:Y46)</f>
        <v>0</v>
      </c>
      <c r="Z44" s="74">
        <f>SUM(Z45:Z46)</f>
        <v>0</v>
      </c>
      <c r="AA44" s="74">
        <f>SUM(AA45:AA46)</f>
        <v>0</v>
      </c>
      <c r="AB44" s="74">
        <f t="shared" si="16"/>
        <v>0</v>
      </c>
      <c r="AC44" s="74">
        <f t="shared" si="16"/>
        <v>0</v>
      </c>
      <c r="AD44" s="728">
        <f t="shared" si="16"/>
        <v>0</v>
      </c>
      <c r="AE44" s="950"/>
    </row>
    <row r="45" spans="1:31" ht="21.75" customHeight="1">
      <c r="A45" s="65"/>
      <c r="B45" s="72" t="s">
        <v>300</v>
      </c>
      <c r="C45" s="1310" t="s">
        <v>302</v>
      </c>
      <c r="D45" s="1310"/>
      <c r="E45" s="309">
        <f>'3.sz.m Önk  bev.'!E43</f>
        <v>0</v>
      </c>
      <c r="F45" s="238">
        <f>'3.sz.m Önk  bev.'!F43</f>
        <v>0</v>
      </c>
      <c r="G45" s="238">
        <f>'3.sz.m Önk  bev.'!G43</f>
        <v>0</v>
      </c>
      <c r="H45" s="238">
        <f>'3.sz.m Önk  bev.'!H43</f>
        <v>2887467</v>
      </c>
      <c r="I45" s="238">
        <f>'3.sz.m Önk  bev.'!I43</f>
        <v>0</v>
      </c>
      <c r="J45" s="238">
        <f>'3.sz.m Önk  bev.'!J43</f>
        <v>0</v>
      </c>
      <c r="K45" s="309">
        <f>'3.sz.m Önk  bev.'!L43</f>
        <v>0</v>
      </c>
      <c r="L45" s="238">
        <f>'3.sz.m Önk  bev.'!M43</f>
        <v>0</v>
      </c>
      <c r="M45" s="238">
        <f>'3.sz.m Önk  bev.'!N43</f>
        <v>0</v>
      </c>
      <c r="N45" s="238">
        <f>'3.sz.m Önk  bev.'!O43</f>
        <v>2887467</v>
      </c>
      <c r="O45" s="238">
        <f>'3.sz.m Önk  bev.'!P43</f>
        <v>0</v>
      </c>
      <c r="P45" s="238">
        <f>'3.sz.m Önk  bev.'!Q43</f>
        <v>0</v>
      </c>
      <c r="Q45" s="661"/>
      <c r="R45" s="309">
        <v>0</v>
      </c>
      <c r="S45" s="238">
        <v>0</v>
      </c>
      <c r="T45" s="238">
        <v>0</v>
      </c>
      <c r="U45" s="238">
        <v>0</v>
      </c>
      <c r="V45" s="238"/>
      <c r="W45" s="866"/>
      <c r="X45" s="309">
        <v>0</v>
      </c>
      <c r="Y45" s="238">
        <v>0</v>
      </c>
      <c r="Z45" s="238">
        <v>0</v>
      </c>
      <c r="AA45" s="238">
        <v>0</v>
      </c>
      <c r="AB45" s="238">
        <v>0</v>
      </c>
      <c r="AC45" s="238">
        <v>0</v>
      </c>
      <c r="AD45" s="866">
        <v>0</v>
      </c>
      <c r="AE45" s="950"/>
    </row>
    <row r="46" spans="1:31" ht="21.75" customHeight="1">
      <c r="A46" s="64"/>
      <c r="B46" s="61" t="s">
        <v>301</v>
      </c>
      <c r="C46" s="1302" t="s">
        <v>303</v>
      </c>
      <c r="D46" s="1302"/>
      <c r="E46" s="309">
        <f aca="true" t="shared" si="17" ref="E46:P46">SUM(E47:E49)</f>
        <v>1074492</v>
      </c>
      <c r="F46" s="238">
        <f t="shared" si="17"/>
        <v>1074492</v>
      </c>
      <c r="G46" s="238">
        <f t="shared" si="17"/>
        <v>8516873</v>
      </c>
      <c r="H46" s="238">
        <f>SUM(H47:H49)</f>
        <v>43516872</v>
      </c>
      <c r="I46" s="238">
        <f t="shared" si="17"/>
        <v>164800474</v>
      </c>
      <c r="J46" s="238">
        <f t="shared" si="17"/>
        <v>0</v>
      </c>
      <c r="K46" s="309">
        <f t="shared" si="17"/>
        <v>1074492</v>
      </c>
      <c r="L46" s="238">
        <f>SUM(L47:L49)</f>
        <v>1074492</v>
      </c>
      <c r="M46" s="238">
        <f>SUM(M47:M49)</f>
        <v>8516873</v>
      </c>
      <c r="N46" s="238">
        <f>SUM(N47:N49)</f>
        <v>43516872</v>
      </c>
      <c r="O46" s="238">
        <f t="shared" si="17"/>
        <v>164800474</v>
      </c>
      <c r="P46" s="238">
        <f t="shared" si="17"/>
        <v>0</v>
      </c>
      <c r="Q46" s="642">
        <f t="shared" si="4"/>
        <v>0</v>
      </c>
      <c r="R46" s="309">
        <f>SUM(R47:R49)</f>
        <v>0</v>
      </c>
      <c r="S46" s="238">
        <f>SUM(S47:S49)</f>
        <v>0</v>
      </c>
      <c r="T46" s="238">
        <f>SUM(T47:T49)</f>
        <v>0</v>
      </c>
      <c r="U46" s="238">
        <v>0</v>
      </c>
      <c r="V46" s="238"/>
      <c r="W46" s="866"/>
      <c r="X46" s="309">
        <v>0</v>
      </c>
      <c r="Y46" s="238">
        <v>0</v>
      </c>
      <c r="Z46" s="238">
        <v>0</v>
      </c>
      <c r="AA46" s="238">
        <v>0</v>
      </c>
      <c r="AB46" s="238">
        <v>0</v>
      </c>
      <c r="AC46" s="238">
        <v>0</v>
      </c>
      <c r="AD46" s="866">
        <v>0</v>
      </c>
      <c r="AE46" s="950"/>
    </row>
    <row r="47" spans="1:31" ht="21.75" customHeight="1">
      <c r="A47" s="64"/>
      <c r="B47" s="72"/>
      <c r="C47" s="66" t="s">
        <v>304</v>
      </c>
      <c r="D47" s="531" t="s">
        <v>31</v>
      </c>
      <c r="E47" s="309">
        <f>'3.sz.m Önk  bev.'!E45</f>
        <v>0</v>
      </c>
      <c r="F47" s="238">
        <f>'3.sz.m Önk  bev.'!F45</f>
        <v>0</v>
      </c>
      <c r="G47" s="238">
        <f>'3.sz.m Önk  bev.'!G45</f>
        <v>0</v>
      </c>
      <c r="H47" s="238">
        <f>'3.sz.m Önk  bev.'!H45</f>
        <v>0</v>
      </c>
      <c r="I47" s="238">
        <f>'3.sz.m Önk  bev.'!I45</f>
        <v>0</v>
      </c>
      <c r="J47" s="238">
        <f>'3.sz.m Önk  bev.'!J45</f>
        <v>0</v>
      </c>
      <c r="K47" s="309">
        <f>'3.sz.m Önk  bev.'!L45</f>
        <v>0</v>
      </c>
      <c r="L47" s="238">
        <f>'3.sz.m Önk  bev.'!M45</f>
        <v>0</v>
      </c>
      <c r="M47" s="238">
        <f>'3.sz.m Önk  bev.'!N45</f>
        <v>0</v>
      </c>
      <c r="N47" s="238">
        <f>'3.sz.m Önk  bev.'!O45</f>
        <v>0</v>
      </c>
      <c r="O47" s="238">
        <f>'3.sz.m Önk  bev.'!P45</f>
        <v>0</v>
      </c>
      <c r="P47" s="238">
        <f>'3.sz.m Önk  bev.'!Q45</f>
        <v>0</v>
      </c>
      <c r="Q47" s="642"/>
      <c r="R47" s="309">
        <v>0</v>
      </c>
      <c r="S47" s="238">
        <v>0</v>
      </c>
      <c r="T47" s="238">
        <v>0</v>
      </c>
      <c r="U47" s="238">
        <v>0</v>
      </c>
      <c r="V47" s="238"/>
      <c r="W47" s="866"/>
      <c r="X47" s="309">
        <v>0</v>
      </c>
      <c r="Y47" s="238">
        <v>0</v>
      </c>
      <c r="Z47" s="238">
        <v>0</v>
      </c>
      <c r="AA47" s="238">
        <v>0</v>
      </c>
      <c r="AB47" s="238">
        <v>0</v>
      </c>
      <c r="AC47" s="238">
        <v>0</v>
      </c>
      <c r="AD47" s="866">
        <v>0</v>
      </c>
      <c r="AE47" s="950"/>
    </row>
    <row r="48" spans="1:31" ht="21.75" customHeight="1">
      <c r="A48" s="64"/>
      <c r="B48" s="61"/>
      <c r="C48" s="60" t="s">
        <v>305</v>
      </c>
      <c r="D48" s="531" t="s">
        <v>30</v>
      </c>
      <c r="E48" s="309">
        <f>'3.sz.m Önk  bev.'!E46</f>
        <v>1074492</v>
      </c>
      <c r="F48" s="238">
        <f>'3.sz.m Önk  bev.'!F46</f>
        <v>1074492</v>
      </c>
      <c r="G48" s="238">
        <f>'3.sz.m Önk  bev.'!G46</f>
        <v>1074492</v>
      </c>
      <c r="H48" s="238">
        <f>'3.sz.m Önk  bev.'!H46</f>
        <v>1074492</v>
      </c>
      <c r="I48" s="238">
        <f>'3.sz.m Önk  bev.'!I46</f>
        <v>164800474</v>
      </c>
      <c r="J48" s="238">
        <f>'3.sz.m Önk  bev.'!J46</f>
        <v>0</v>
      </c>
      <c r="K48" s="309">
        <f>'3.sz.m Önk  bev.'!L46</f>
        <v>1074492</v>
      </c>
      <c r="L48" s="238">
        <f>'3.sz.m Önk  bev.'!M46</f>
        <v>1074492</v>
      </c>
      <c r="M48" s="238">
        <f>'3.sz.m Önk  bev.'!N46</f>
        <v>1074492</v>
      </c>
      <c r="N48" s="238">
        <f>'3.sz.m Önk  bev.'!O46</f>
        <v>1074492</v>
      </c>
      <c r="O48" s="238">
        <f>'3.sz.m Önk  bev.'!P46</f>
        <v>164800474</v>
      </c>
      <c r="P48" s="238">
        <f>'3.sz.m Önk  bev.'!Q46</f>
        <v>0</v>
      </c>
      <c r="Q48" s="642"/>
      <c r="R48" s="308">
        <f>+'3.sz.m Önk  bev.'!S46</f>
        <v>0</v>
      </c>
      <c r="S48" s="237">
        <f>+'3.sz.m Önk  bev.'!T46</f>
        <v>0</v>
      </c>
      <c r="T48" s="237">
        <f>+'3.sz.m Önk  bev.'!U46</f>
        <v>0</v>
      </c>
      <c r="U48" s="237">
        <f>+'3.sz.m Önk  bev.'!V46</f>
        <v>0</v>
      </c>
      <c r="V48" s="238"/>
      <c r="W48" s="866"/>
      <c r="X48" s="309">
        <v>0</v>
      </c>
      <c r="Y48" s="238">
        <v>0</v>
      </c>
      <c r="Z48" s="238">
        <v>0</v>
      </c>
      <c r="AA48" s="238">
        <v>0</v>
      </c>
      <c r="AB48" s="238">
        <v>0</v>
      </c>
      <c r="AC48" s="238">
        <v>0</v>
      </c>
      <c r="AD48" s="866">
        <v>0</v>
      </c>
      <c r="AE48" s="950"/>
    </row>
    <row r="49" spans="1:31" ht="21.75" customHeight="1">
      <c r="A49" s="68"/>
      <c r="B49" s="72"/>
      <c r="C49" s="66" t="s">
        <v>306</v>
      </c>
      <c r="D49" s="531" t="s">
        <v>307</v>
      </c>
      <c r="E49" s="309">
        <f>'3.sz.m Önk  bev.'!E47</f>
        <v>0</v>
      </c>
      <c r="F49" s="238">
        <f>'3.sz.m Önk  bev.'!F47</f>
        <v>0</v>
      </c>
      <c r="G49" s="238">
        <f>'3.sz.m Önk  bev.'!G47</f>
        <v>7442381</v>
      </c>
      <c r="H49" s="238">
        <f>'3.sz.m Önk  bev.'!H47</f>
        <v>42442380</v>
      </c>
      <c r="I49" s="238">
        <f>'3.sz.m Önk  bev.'!I47</f>
        <v>0</v>
      </c>
      <c r="J49" s="238">
        <f>'3.sz.m Önk  bev.'!J47</f>
        <v>0</v>
      </c>
      <c r="K49" s="309">
        <f>'3.sz.m Önk  bev.'!L47</f>
        <v>0</v>
      </c>
      <c r="L49" s="238">
        <f>'3.sz.m Önk  bev.'!M47</f>
        <v>0</v>
      </c>
      <c r="M49" s="238">
        <f>'3.sz.m Önk  bev.'!N47</f>
        <v>7442381</v>
      </c>
      <c r="N49" s="238">
        <f>'3.sz.m Önk  bev.'!O47</f>
        <v>42442380</v>
      </c>
      <c r="O49" s="238">
        <f>'3.sz.m Önk  bev.'!P47</f>
        <v>0</v>
      </c>
      <c r="P49" s="238">
        <f>'3.sz.m Önk  bev.'!Q47</f>
        <v>0</v>
      </c>
      <c r="Q49" s="642">
        <f t="shared" si="4"/>
        <v>0</v>
      </c>
      <c r="R49" s="309">
        <v>0</v>
      </c>
      <c r="S49" s="238">
        <v>0</v>
      </c>
      <c r="T49" s="238">
        <v>0</v>
      </c>
      <c r="U49" s="238">
        <v>0</v>
      </c>
      <c r="V49" s="238"/>
      <c r="W49" s="866"/>
      <c r="X49" s="309">
        <v>0</v>
      </c>
      <c r="Y49" s="238">
        <v>0</v>
      </c>
      <c r="Z49" s="238">
        <v>0</v>
      </c>
      <c r="AA49" s="238">
        <v>0</v>
      </c>
      <c r="AB49" s="238">
        <v>0</v>
      </c>
      <c r="AC49" s="238">
        <v>0</v>
      </c>
      <c r="AD49" s="866">
        <v>0</v>
      </c>
      <c r="AE49" s="950"/>
    </row>
    <row r="50" spans="1:31" ht="21.75" customHeight="1" thickBot="1">
      <c r="A50" s="313"/>
      <c r="B50" s="61" t="s">
        <v>330</v>
      </c>
      <c r="C50" s="1302" t="s">
        <v>450</v>
      </c>
      <c r="D50" s="1302"/>
      <c r="E50" s="309"/>
      <c r="F50" s="238">
        <f>'3.sz.m Önk  bev.'!F48</f>
        <v>0</v>
      </c>
      <c r="G50" s="238">
        <f>'3.sz.m Önk  bev.'!G48</f>
        <v>0</v>
      </c>
      <c r="H50" s="238">
        <f>'3.sz.m Önk  bev.'!H48</f>
        <v>0</v>
      </c>
      <c r="I50" s="238">
        <f>'3.sz.m Önk  bev.'!I48</f>
        <v>0</v>
      </c>
      <c r="J50" s="238">
        <f>'3.sz.m Önk  bev.'!J48</f>
        <v>0</v>
      </c>
      <c r="K50" s="309"/>
      <c r="L50" s="238"/>
      <c r="M50" s="238"/>
      <c r="N50" s="238"/>
      <c r="O50" s="238">
        <f>'3.sz.m Önk  bev.'!P48</f>
        <v>0</v>
      </c>
      <c r="P50" s="238">
        <f>'3.sz.m Önk  bev.'!Q48</f>
        <v>0</v>
      </c>
      <c r="Q50" s="642"/>
      <c r="R50" s="309">
        <v>0</v>
      </c>
      <c r="S50" s="238">
        <v>0</v>
      </c>
      <c r="T50" s="238">
        <v>0</v>
      </c>
      <c r="U50" s="238">
        <v>0</v>
      </c>
      <c r="V50" s="238">
        <f>'3.sz.m Önk  bev.'!W48</f>
        <v>0</v>
      </c>
      <c r="W50" s="866">
        <f>'3.sz.m Önk  bev.'!X48</f>
        <v>0</v>
      </c>
      <c r="X50" s="309">
        <v>0</v>
      </c>
      <c r="Y50" s="238">
        <v>0</v>
      </c>
      <c r="Z50" s="238">
        <v>0</v>
      </c>
      <c r="AA50" s="238">
        <v>0</v>
      </c>
      <c r="AB50" s="238">
        <v>0</v>
      </c>
      <c r="AC50" s="238">
        <v>0</v>
      </c>
      <c r="AD50" s="866">
        <v>0</v>
      </c>
      <c r="AE50" s="950"/>
    </row>
    <row r="51" spans="1:31" ht="21.75" customHeight="1" hidden="1" thickBot="1">
      <c r="A51" s="313"/>
      <c r="B51" s="72"/>
      <c r="C51" s="1319"/>
      <c r="D51" s="1320"/>
      <c r="E51" s="474"/>
      <c r="F51" s="475"/>
      <c r="G51" s="475"/>
      <c r="H51" s="475"/>
      <c r="I51" s="475"/>
      <c r="J51" s="475"/>
      <c r="K51" s="474"/>
      <c r="L51" s="475"/>
      <c r="M51" s="475"/>
      <c r="N51" s="475"/>
      <c r="O51" s="475"/>
      <c r="P51" s="475"/>
      <c r="Q51" s="643" t="e">
        <f t="shared" si="4"/>
        <v>#DIV/0!</v>
      </c>
      <c r="R51" s="474"/>
      <c r="S51" s="475"/>
      <c r="T51" s="475"/>
      <c r="U51" s="475"/>
      <c r="V51" s="475"/>
      <c r="W51" s="869"/>
      <c r="X51" s="474"/>
      <c r="Y51" s="475"/>
      <c r="Z51" s="475"/>
      <c r="AA51" s="475"/>
      <c r="AB51" s="475"/>
      <c r="AC51" s="475"/>
      <c r="AD51" s="869"/>
      <c r="AE51" s="950"/>
    </row>
    <row r="52" spans="1:31" ht="21.75" customHeight="1" thickBot="1">
      <c r="A52" s="71" t="s">
        <v>11</v>
      </c>
      <c r="B52" s="1296" t="s">
        <v>71</v>
      </c>
      <c r="C52" s="1296"/>
      <c r="D52" s="1296"/>
      <c r="E52" s="301">
        <f aca="true" t="shared" si="18" ref="E52:P52">E53+E54</f>
        <v>360000</v>
      </c>
      <c r="F52" s="74">
        <f t="shared" si="18"/>
        <v>360000</v>
      </c>
      <c r="G52" s="74">
        <f t="shared" si="18"/>
        <v>360000</v>
      </c>
      <c r="H52" s="74">
        <f>H53+H54</f>
        <v>360000</v>
      </c>
      <c r="I52" s="74">
        <f t="shared" si="18"/>
        <v>460000</v>
      </c>
      <c r="J52" s="74">
        <f t="shared" si="18"/>
        <v>0</v>
      </c>
      <c r="K52" s="301">
        <f t="shared" si="18"/>
        <v>360000</v>
      </c>
      <c r="L52" s="74">
        <f>L53+L54</f>
        <v>360000</v>
      </c>
      <c r="M52" s="74">
        <f>M53+M54</f>
        <v>360000</v>
      </c>
      <c r="N52" s="74">
        <f>N53+N54</f>
        <v>360000</v>
      </c>
      <c r="O52" s="74">
        <f t="shared" si="18"/>
        <v>460000</v>
      </c>
      <c r="P52" s="74">
        <f t="shared" si="18"/>
        <v>0</v>
      </c>
      <c r="Q52" s="657">
        <f t="shared" si="4"/>
        <v>0</v>
      </c>
      <c r="R52" s="301">
        <f aca="true" t="shared" si="19" ref="R52:W52">R53+R54</f>
        <v>0</v>
      </c>
      <c r="S52" s="74">
        <f>S53+S54</f>
        <v>0</v>
      </c>
      <c r="T52" s="74">
        <f>T53+T54</f>
        <v>0</v>
      </c>
      <c r="U52" s="74">
        <f>U53+U54</f>
        <v>0</v>
      </c>
      <c r="V52" s="74">
        <f t="shared" si="19"/>
        <v>0</v>
      </c>
      <c r="W52" s="728">
        <f t="shared" si="19"/>
        <v>0</v>
      </c>
      <c r="X52" s="301">
        <f aca="true" t="shared" si="20" ref="X52:AD52">X53+X54</f>
        <v>0</v>
      </c>
      <c r="Y52" s="74">
        <f>Y53+Y54</f>
        <v>0</v>
      </c>
      <c r="Z52" s="74">
        <f>Z53+Z54</f>
        <v>0</v>
      </c>
      <c r="AA52" s="74">
        <f>AA53+AA54</f>
        <v>0</v>
      </c>
      <c r="AB52" s="74">
        <f t="shared" si="20"/>
        <v>0</v>
      </c>
      <c r="AC52" s="74">
        <f t="shared" si="20"/>
        <v>0</v>
      </c>
      <c r="AD52" s="728">
        <f t="shared" si="20"/>
        <v>0</v>
      </c>
      <c r="AE52" s="950"/>
    </row>
    <row r="53" spans="1:31" s="7" customFormat="1" ht="21.75" customHeight="1">
      <c r="A53" s="73"/>
      <c r="B53" s="72" t="s">
        <v>42</v>
      </c>
      <c r="C53" s="1310" t="s">
        <v>319</v>
      </c>
      <c r="D53" s="1310"/>
      <c r="E53" s="309">
        <f>'3.sz.m Önk  bev.'!E51</f>
        <v>60000</v>
      </c>
      <c r="F53" s="238">
        <f>'3.sz.m Önk  bev.'!F51</f>
        <v>60000</v>
      </c>
      <c r="G53" s="238">
        <f>'3.sz.m Önk  bev.'!G51</f>
        <v>60000</v>
      </c>
      <c r="H53" s="238">
        <f>'3.sz.m Önk  bev.'!H51</f>
        <v>60000</v>
      </c>
      <c r="I53" s="238">
        <f>'3.sz.m Önk  bev.'!I51+'5.2 sz. m ÁMK'!H24</f>
        <v>260000</v>
      </c>
      <c r="J53" s="238">
        <f>'3.sz.m Önk  bev.'!J51+'5.2 sz. m ÁMK'!I24</f>
        <v>0</v>
      </c>
      <c r="K53" s="309">
        <f>'3.sz.m Önk  bev.'!L51</f>
        <v>60000</v>
      </c>
      <c r="L53" s="238">
        <f>'3.sz.m Önk  bev.'!M51</f>
        <v>60000</v>
      </c>
      <c r="M53" s="238">
        <f>'3.sz.m Önk  bev.'!N51</f>
        <v>60000</v>
      </c>
      <c r="N53" s="238">
        <f>'3.sz.m Önk  bev.'!O51</f>
        <v>60000</v>
      </c>
      <c r="O53" s="238">
        <f>'3.sz.m Önk  bev.'!P51</f>
        <v>260000</v>
      </c>
      <c r="P53" s="238">
        <f>'3.sz.m Önk  bev.'!Q51+'5.2 sz. m ÁMK'!I24</f>
        <v>0</v>
      </c>
      <c r="Q53" s="642">
        <f t="shared" si="4"/>
        <v>0</v>
      </c>
      <c r="R53" s="309">
        <v>0</v>
      </c>
      <c r="S53" s="238">
        <v>0</v>
      </c>
      <c r="T53" s="238">
        <v>0</v>
      </c>
      <c r="U53" s="238">
        <v>0</v>
      </c>
      <c r="V53" s="238"/>
      <c r="W53" s="866"/>
      <c r="X53" s="309">
        <v>0</v>
      </c>
      <c r="Y53" s="238">
        <v>0</v>
      </c>
      <c r="Z53" s="238">
        <v>0</v>
      </c>
      <c r="AA53" s="238">
        <v>0</v>
      </c>
      <c r="AB53" s="238">
        <v>0</v>
      </c>
      <c r="AC53" s="238">
        <v>0</v>
      </c>
      <c r="AD53" s="866">
        <v>0</v>
      </c>
      <c r="AE53" s="950"/>
    </row>
    <row r="54" spans="1:31" ht="21.75" customHeight="1" thickBot="1">
      <c r="A54" s="64"/>
      <c r="B54" s="60" t="s">
        <v>43</v>
      </c>
      <c r="C54" s="1302" t="s">
        <v>436</v>
      </c>
      <c r="D54" s="1302"/>
      <c r="E54" s="309">
        <f>'3.sz.m Önk  bev.'!E52</f>
        <v>300000</v>
      </c>
      <c r="F54" s="238">
        <f>'3.sz.m Önk  bev.'!F52</f>
        <v>300000</v>
      </c>
      <c r="G54" s="238">
        <f>'3.sz.m Önk  bev.'!G52</f>
        <v>300000</v>
      </c>
      <c r="H54" s="238">
        <f>'3.sz.m Önk  bev.'!H52</f>
        <v>300000</v>
      </c>
      <c r="I54" s="238">
        <f>'3.sz.m Önk  bev.'!I52</f>
        <v>200000</v>
      </c>
      <c r="J54" s="238">
        <f>'3.sz.m Önk  bev.'!J52</f>
        <v>0</v>
      </c>
      <c r="K54" s="309">
        <f>'3.sz.m Önk  bev.'!L52</f>
        <v>300000</v>
      </c>
      <c r="L54" s="238">
        <f>'3.sz.m Önk  bev.'!M52</f>
        <v>300000</v>
      </c>
      <c r="M54" s="238">
        <f>'3.sz.m Önk  bev.'!N52</f>
        <v>300000</v>
      </c>
      <c r="N54" s="238">
        <f>'3.sz.m Önk  bev.'!O52</f>
        <v>300000</v>
      </c>
      <c r="O54" s="238">
        <f>'3.sz.m Önk  bev.'!P52</f>
        <v>200000</v>
      </c>
      <c r="P54" s="238">
        <f>'3.sz.m Önk  bev.'!Q52</f>
        <v>0</v>
      </c>
      <c r="Q54" s="662"/>
      <c r="R54" s="309">
        <v>0</v>
      </c>
      <c r="S54" s="238">
        <v>0</v>
      </c>
      <c r="T54" s="238">
        <v>0</v>
      </c>
      <c r="U54" s="238">
        <v>0</v>
      </c>
      <c r="V54" s="238"/>
      <c r="W54" s="866"/>
      <c r="X54" s="309">
        <v>0</v>
      </c>
      <c r="Y54" s="238">
        <v>0</v>
      </c>
      <c r="Z54" s="238">
        <v>0</v>
      </c>
      <c r="AA54" s="238">
        <v>0</v>
      </c>
      <c r="AB54" s="238">
        <v>0</v>
      </c>
      <c r="AC54" s="238">
        <v>0</v>
      </c>
      <c r="AD54" s="866">
        <v>0</v>
      </c>
      <c r="AE54" s="950"/>
    </row>
    <row r="55" spans="1:31" ht="21.75" customHeight="1" thickBot="1">
      <c r="A55" s="71" t="s">
        <v>12</v>
      </c>
      <c r="B55" s="1296" t="s">
        <v>308</v>
      </c>
      <c r="C55" s="1296"/>
      <c r="D55" s="1296"/>
      <c r="E55" s="296">
        <f aca="true" t="shared" si="21" ref="E55:P55">SUM(E56:E57)</f>
        <v>600000</v>
      </c>
      <c r="F55" s="239">
        <f t="shared" si="21"/>
        <v>600000</v>
      </c>
      <c r="G55" s="239">
        <f t="shared" si="21"/>
        <v>600000</v>
      </c>
      <c r="H55" s="239">
        <f>SUM(H56:H57)</f>
        <v>1264300</v>
      </c>
      <c r="I55" s="239">
        <f t="shared" si="21"/>
        <v>0</v>
      </c>
      <c r="J55" s="239">
        <f t="shared" si="21"/>
        <v>0</v>
      </c>
      <c r="K55" s="296">
        <f t="shared" si="21"/>
        <v>600000</v>
      </c>
      <c r="L55" s="239">
        <f>SUM(L56:L57)</f>
        <v>600000</v>
      </c>
      <c r="M55" s="239">
        <f>SUM(M56:M57)</f>
        <v>600000</v>
      </c>
      <c r="N55" s="239">
        <f>SUM(N56:N57)</f>
        <v>1264300</v>
      </c>
      <c r="O55" s="239">
        <f t="shared" si="21"/>
        <v>0</v>
      </c>
      <c r="P55" s="239">
        <f t="shared" si="21"/>
        <v>0</v>
      </c>
      <c r="Q55" s="657">
        <f t="shared" si="4"/>
        <v>0</v>
      </c>
      <c r="R55" s="296">
        <f aca="true" t="shared" si="22" ref="R55:W55">SUM(R56:R57)</f>
        <v>0</v>
      </c>
      <c r="S55" s="239">
        <f>SUM(S56:S57)</f>
        <v>0</v>
      </c>
      <c r="T55" s="239">
        <f>SUM(T56:T57)</f>
        <v>0</v>
      </c>
      <c r="U55" s="239">
        <f>SUM(U56:U57)</f>
        <v>0</v>
      </c>
      <c r="V55" s="239">
        <f t="shared" si="22"/>
        <v>0</v>
      </c>
      <c r="W55" s="724">
        <f t="shared" si="22"/>
        <v>0</v>
      </c>
      <c r="X55" s="296">
        <f aca="true" t="shared" si="23" ref="X55:AD55">SUM(X56:X57)</f>
        <v>0</v>
      </c>
      <c r="Y55" s="239">
        <f>SUM(Y56:Y57)</f>
        <v>0</v>
      </c>
      <c r="Z55" s="239">
        <f>SUM(Z56:Z57)</f>
        <v>0</v>
      </c>
      <c r="AA55" s="239">
        <f>SUM(AA56:AA57)</f>
        <v>0</v>
      </c>
      <c r="AB55" s="239">
        <f t="shared" si="23"/>
        <v>0</v>
      </c>
      <c r="AC55" s="239">
        <f t="shared" si="23"/>
        <v>0</v>
      </c>
      <c r="AD55" s="724">
        <f t="shared" si="23"/>
        <v>0</v>
      </c>
      <c r="AE55" s="950"/>
    </row>
    <row r="56" spans="1:31" s="7" customFormat="1" ht="21.75" customHeight="1">
      <c r="A56" s="73"/>
      <c r="B56" s="66" t="s">
        <v>44</v>
      </c>
      <c r="C56" s="1310" t="s">
        <v>310</v>
      </c>
      <c r="D56" s="1310"/>
      <c r="E56" s="312">
        <f>'3.sz.m Önk  bev.'!E54</f>
        <v>600000</v>
      </c>
      <c r="F56" s="240">
        <f>'3.sz.m Önk  bev.'!F54</f>
        <v>600000</v>
      </c>
      <c r="G56" s="240">
        <f>'3.sz.m Önk  bev.'!G54</f>
        <v>600000</v>
      </c>
      <c r="H56" s="240">
        <f>'3.sz.m Önk  bev.'!H54</f>
        <v>1264300</v>
      </c>
      <c r="I56" s="240">
        <f>'3.sz.m Önk  bev.'!I54</f>
        <v>0</v>
      </c>
      <c r="J56" s="240">
        <f>'3.sz.m Önk  bev.'!J54</f>
        <v>0</v>
      </c>
      <c r="K56" s="312">
        <f>'3.sz.m Önk  bev.'!L54</f>
        <v>600000</v>
      </c>
      <c r="L56" s="240">
        <f>'3.sz.m Önk  bev.'!M54</f>
        <v>600000</v>
      </c>
      <c r="M56" s="240">
        <f>'3.sz.m Önk  bev.'!N54</f>
        <v>600000</v>
      </c>
      <c r="N56" s="240">
        <f>'3.sz.m Önk  bev.'!O54</f>
        <v>1264300</v>
      </c>
      <c r="O56" s="240">
        <f>'3.sz.m Önk  bev.'!P54</f>
        <v>0</v>
      </c>
      <c r="P56" s="240">
        <f>'3.sz.m Önk  bev.'!Q54</f>
        <v>0</v>
      </c>
      <c r="Q56" s="642">
        <f t="shared" si="4"/>
        <v>0</v>
      </c>
      <c r="R56" s="312">
        <v>0</v>
      </c>
      <c r="S56" s="240">
        <v>0</v>
      </c>
      <c r="T56" s="240">
        <v>0</v>
      </c>
      <c r="U56" s="240">
        <v>0</v>
      </c>
      <c r="V56" s="240"/>
      <c r="W56" s="1142"/>
      <c r="X56" s="312">
        <v>0</v>
      </c>
      <c r="Y56" s="240">
        <v>0</v>
      </c>
      <c r="Z56" s="240">
        <v>0</v>
      </c>
      <c r="AA56" s="240">
        <v>0</v>
      </c>
      <c r="AB56" s="240">
        <v>0</v>
      </c>
      <c r="AC56" s="240">
        <v>0</v>
      </c>
      <c r="AD56" s="1142">
        <v>0</v>
      </c>
      <c r="AE56" s="950"/>
    </row>
    <row r="57" spans="1:31" ht="21.75" customHeight="1" thickBot="1">
      <c r="A57" s="68"/>
      <c r="B57" s="69" t="s">
        <v>309</v>
      </c>
      <c r="C57" s="1301" t="s">
        <v>311</v>
      </c>
      <c r="D57" s="1301"/>
      <c r="E57" s="310">
        <v>0</v>
      </c>
      <c r="F57" s="311">
        <v>0</v>
      </c>
      <c r="G57" s="311">
        <v>0</v>
      </c>
      <c r="H57" s="311">
        <v>0</v>
      </c>
      <c r="I57" s="311">
        <v>0</v>
      </c>
      <c r="J57" s="311">
        <v>0</v>
      </c>
      <c r="K57" s="310">
        <v>0</v>
      </c>
      <c r="L57" s="311">
        <v>0</v>
      </c>
      <c r="M57" s="311">
        <v>0</v>
      </c>
      <c r="N57" s="311">
        <v>0</v>
      </c>
      <c r="O57" s="311"/>
      <c r="P57" s="311"/>
      <c r="Q57" s="665"/>
      <c r="R57" s="310">
        <v>0</v>
      </c>
      <c r="S57" s="311">
        <v>0</v>
      </c>
      <c r="T57" s="311">
        <v>0</v>
      </c>
      <c r="U57" s="311">
        <v>0</v>
      </c>
      <c r="V57" s="311"/>
      <c r="W57" s="816"/>
      <c r="X57" s="310">
        <v>0</v>
      </c>
      <c r="Y57" s="311">
        <v>0</v>
      </c>
      <c r="Z57" s="311">
        <v>0</v>
      </c>
      <c r="AA57" s="311">
        <v>0</v>
      </c>
      <c r="AB57" s="311">
        <v>0</v>
      </c>
      <c r="AC57" s="311">
        <v>0</v>
      </c>
      <c r="AD57" s="816">
        <v>0</v>
      </c>
      <c r="AE57" s="950"/>
    </row>
    <row r="58" spans="1:31" ht="21.75" customHeight="1" thickBot="1">
      <c r="A58" s="71" t="s">
        <v>13</v>
      </c>
      <c r="B58" s="1311" t="s">
        <v>73</v>
      </c>
      <c r="C58" s="1311"/>
      <c r="D58" s="1311"/>
      <c r="E58" s="296">
        <f aca="true" t="shared" si="24" ref="E58:P58">E8+E22+E44+E52+E55+E35</f>
        <v>622258860</v>
      </c>
      <c r="F58" s="239">
        <f t="shared" si="24"/>
        <v>608806633</v>
      </c>
      <c r="G58" s="239">
        <f>G8+G22+G44+G52+G55+G35</f>
        <v>630822286</v>
      </c>
      <c r="H58" s="239">
        <f>H8+H22+H44+H52+H55+H35</f>
        <v>672147117</v>
      </c>
      <c r="I58" s="239">
        <f t="shared" si="24"/>
        <v>165260474</v>
      </c>
      <c r="J58" s="239">
        <f t="shared" si="24"/>
        <v>0</v>
      </c>
      <c r="K58" s="296">
        <f t="shared" si="24"/>
        <v>602578892</v>
      </c>
      <c r="L58" s="239">
        <f>L8+L22+L44+L52+L55+L35</f>
        <v>581166886</v>
      </c>
      <c r="M58" s="239">
        <f>M8+M22+M44+M52+M55+M35</f>
        <v>603182539</v>
      </c>
      <c r="N58" s="239">
        <f>N8+N22+N44+N52+N55+N35</f>
        <v>649181965</v>
      </c>
      <c r="O58" s="239">
        <f t="shared" si="24"/>
        <v>146605245</v>
      </c>
      <c r="P58" s="239">
        <f t="shared" si="24"/>
        <v>-20150631</v>
      </c>
      <c r="Q58" s="663">
        <f t="shared" si="4"/>
        <v>-0.03104003513098211</v>
      </c>
      <c r="R58" s="296">
        <f aca="true" t="shared" si="25" ref="R58:W58">R8+R22+R44+R52+R55+R35</f>
        <v>19679968</v>
      </c>
      <c r="S58" s="239">
        <f>S8+S22+S44+S52+S55+S35</f>
        <v>27639747</v>
      </c>
      <c r="T58" s="239">
        <f>T8+T22+T44+T52+T55+T35</f>
        <v>27639747</v>
      </c>
      <c r="U58" s="239">
        <f>U8+U22+U44+U52+U55+U35</f>
        <v>22965152</v>
      </c>
      <c r="V58" s="239">
        <f t="shared" si="25"/>
        <v>18884537</v>
      </c>
      <c r="W58" s="724">
        <f t="shared" si="25"/>
        <v>20150631</v>
      </c>
      <c r="X58" s="296">
        <f aca="true" t="shared" si="26" ref="X58:AD58">X8+X22+X44+X52+X55+X35</f>
        <v>7923383</v>
      </c>
      <c r="Y58" s="239">
        <f>Y8+Y22+Y44+Y52+Y55+Y35</f>
        <v>7923383</v>
      </c>
      <c r="Z58" s="239">
        <f>Z8+Z22+Z44+Z52+Z55+Z35</f>
        <v>7923383</v>
      </c>
      <c r="AA58" s="239">
        <f>AA8+AA22+AA44+AA52+AA55+AA35</f>
        <v>7923383</v>
      </c>
      <c r="AB58" s="239">
        <f t="shared" si="26"/>
        <v>5610894</v>
      </c>
      <c r="AC58" s="239">
        <f t="shared" si="26"/>
        <v>5610894</v>
      </c>
      <c r="AD58" s="724">
        <f t="shared" si="26"/>
        <v>5610894</v>
      </c>
      <c r="AE58" s="950"/>
    </row>
    <row r="59" spans="1:31" ht="24" customHeight="1" thickBot="1">
      <c r="A59" s="67" t="s">
        <v>54</v>
      </c>
      <c r="B59" s="1296" t="s">
        <v>312</v>
      </c>
      <c r="C59" s="1296"/>
      <c r="D59" s="1296"/>
      <c r="E59" s="296">
        <f aca="true" t="shared" si="27" ref="E59:P59">SUM(E60:E62)</f>
        <v>304279553</v>
      </c>
      <c r="F59" s="239">
        <f t="shared" si="27"/>
        <v>304279553</v>
      </c>
      <c r="G59" s="239">
        <f t="shared" si="27"/>
        <v>304279553</v>
      </c>
      <c r="H59" s="239">
        <f>SUM(H60:H62)</f>
        <v>320456000</v>
      </c>
      <c r="I59" s="239">
        <f t="shared" si="27"/>
        <v>0</v>
      </c>
      <c r="J59" s="239">
        <f t="shared" si="27"/>
        <v>0</v>
      </c>
      <c r="K59" s="296">
        <f t="shared" si="27"/>
        <v>288643759</v>
      </c>
      <c r="L59" s="239">
        <f>SUM(L60:L62)</f>
        <v>288643759</v>
      </c>
      <c r="M59" s="239">
        <f>SUM(M60:M62)</f>
        <v>288643759</v>
      </c>
      <c r="N59" s="239">
        <f>SUM(N60:N62)</f>
        <v>304820206</v>
      </c>
      <c r="O59" s="239">
        <f t="shared" si="27"/>
        <v>0</v>
      </c>
      <c r="P59" s="239">
        <f t="shared" si="27"/>
        <v>0</v>
      </c>
      <c r="Q59" s="663">
        <f t="shared" si="4"/>
        <v>0</v>
      </c>
      <c r="R59" s="296">
        <f aca="true" t="shared" si="28" ref="R59:W59">SUM(R60:R62)</f>
        <v>15635794</v>
      </c>
      <c r="S59" s="239">
        <f>SUM(S60:S62)</f>
        <v>15635794</v>
      </c>
      <c r="T59" s="239">
        <f>SUM(T60:T62)</f>
        <v>15635794</v>
      </c>
      <c r="U59" s="239">
        <f>SUM(U60:U62)</f>
        <v>15635794</v>
      </c>
      <c r="V59" s="239">
        <f t="shared" si="28"/>
        <v>0</v>
      </c>
      <c r="W59" s="724">
        <f t="shared" si="28"/>
        <v>0</v>
      </c>
      <c r="X59" s="296">
        <f aca="true" t="shared" si="29" ref="X59:AD59">SUM(X60:X62)</f>
        <v>0</v>
      </c>
      <c r="Y59" s="239">
        <f>SUM(Y60:Y62)</f>
        <v>0</v>
      </c>
      <c r="Z59" s="239">
        <f>SUM(Z60:Z62)</f>
        <v>0</v>
      </c>
      <c r="AA59" s="239">
        <f>SUM(AA60:AA62)</f>
        <v>0</v>
      </c>
      <c r="AB59" s="239">
        <f t="shared" si="29"/>
        <v>0</v>
      </c>
      <c r="AC59" s="239">
        <f t="shared" si="29"/>
        <v>0</v>
      </c>
      <c r="AD59" s="724">
        <f t="shared" si="29"/>
        <v>0</v>
      </c>
      <c r="AE59" s="950"/>
    </row>
    <row r="60" spans="1:31" ht="21.75" customHeight="1">
      <c r="A60" s="65"/>
      <c r="B60" s="66" t="s">
        <v>45</v>
      </c>
      <c r="C60" s="1310" t="s">
        <v>496</v>
      </c>
      <c r="D60" s="1310"/>
      <c r="E60" s="309">
        <f>'3.sz.m Önk  bev.'!E58</f>
        <v>0</v>
      </c>
      <c r="F60" s="238">
        <f>'3.sz.m Önk  bev.'!F58</f>
        <v>0</v>
      </c>
      <c r="G60" s="238">
        <f>'3.sz.m Önk  bev.'!G58</f>
        <v>0</v>
      </c>
      <c r="H60" s="238">
        <f>'3.sz.m Önk  bev.'!H58</f>
        <v>13999235</v>
      </c>
      <c r="I60" s="238">
        <f>'3.sz.m Önk  bev.'!I58</f>
        <v>0</v>
      </c>
      <c r="J60" s="238">
        <f>'3.sz.m Önk  bev.'!J58</f>
        <v>0</v>
      </c>
      <c r="K60" s="309">
        <f>'3.sz.m Önk  bev.'!L58</f>
        <v>0</v>
      </c>
      <c r="L60" s="238">
        <f>'3.sz.m Önk  bev.'!M58</f>
        <v>0</v>
      </c>
      <c r="M60" s="238">
        <f>'3.sz.m Önk  bev.'!N58</f>
        <v>0</v>
      </c>
      <c r="N60" s="238">
        <f>'3.sz.m Önk  bev.'!O58</f>
        <v>13999235</v>
      </c>
      <c r="O60" s="238">
        <f>I60</f>
        <v>0</v>
      </c>
      <c r="P60" s="238">
        <f>J60</f>
        <v>0</v>
      </c>
      <c r="Q60" s="664">
        <f t="shared" si="4"/>
        <v>0</v>
      </c>
      <c r="R60" s="309">
        <v>0</v>
      </c>
      <c r="S60" s="238">
        <v>0</v>
      </c>
      <c r="T60" s="238">
        <v>0</v>
      </c>
      <c r="U60" s="238">
        <v>0</v>
      </c>
      <c r="V60" s="238"/>
      <c r="W60" s="866"/>
      <c r="X60" s="309">
        <v>0</v>
      </c>
      <c r="Y60" s="238">
        <v>0</v>
      </c>
      <c r="Z60" s="238">
        <v>0</v>
      </c>
      <c r="AA60" s="238">
        <v>0</v>
      </c>
      <c r="AB60" s="238">
        <v>0</v>
      </c>
      <c r="AC60" s="238">
        <v>0</v>
      </c>
      <c r="AD60" s="866">
        <v>0</v>
      </c>
      <c r="AE60" s="950"/>
    </row>
    <row r="61" spans="1:31" ht="21.75" customHeight="1">
      <c r="A61" s="64"/>
      <c r="B61" s="61" t="s">
        <v>46</v>
      </c>
      <c r="C61" s="1310" t="s">
        <v>477</v>
      </c>
      <c r="D61" s="1310"/>
      <c r="E61" s="309">
        <f>'3.sz.m Önk  bev.'!E59</f>
        <v>0</v>
      </c>
      <c r="F61" s="238">
        <f>'3.sz.m Önk  bev.'!F59</f>
        <v>0</v>
      </c>
      <c r="G61" s="238">
        <f>'3.sz.m Önk  bev.'!G59</f>
        <v>0</v>
      </c>
      <c r="H61" s="238">
        <f>'3.sz.m Önk  bev.'!H59</f>
        <v>0</v>
      </c>
      <c r="I61" s="238">
        <f>'3.sz.m Önk  bev.'!I59</f>
        <v>0</v>
      </c>
      <c r="J61" s="238">
        <f>'3.sz.m Önk  bev.'!J59</f>
        <v>0</v>
      </c>
      <c r="K61" s="309">
        <f>'3.sz.m Önk  bev.'!L59</f>
        <v>0</v>
      </c>
      <c r="L61" s="238">
        <f>'3.sz.m Önk  bev.'!M59</f>
        <v>0</v>
      </c>
      <c r="M61" s="238">
        <f>'3.sz.m Önk  bev.'!N59</f>
        <v>0</v>
      </c>
      <c r="N61" s="238">
        <f>'3.sz.m Önk  bev.'!O59</f>
        <v>0</v>
      </c>
      <c r="O61" s="238">
        <f>'3.sz.m Önk  bev.'!P59</f>
        <v>0</v>
      </c>
      <c r="P61" s="238">
        <f>'3.sz.m Önk  bev.'!Q59</f>
        <v>0</v>
      </c>
      <c r="Q61" s="666"/>
      <c r="R61" s="309">
        <v>0</v>
      </c>
      <c r="S61" s="238">
        <v>0</v>
      </c>
      <c r="T61" s="238">
        <v>0</v>
      </c>
      <c r="U61" s="238">
        <v>0</v>
      </c>
      <c r="V61" s="238"/>
      <c r="W61" s="866"/>
      <c r="X61" s="309">
        <v>0</v>
      </c>
      <c r="Y61" s="238">
        <v>0</v>
      </c>
      <c r="Z61" s="238">
        <v>0</v>
      </c>
      <c r="AA61" s="238">
        <v>0</v>
      </c>
      <c r="AB61" s="238">
        <v>0</v>
      </c>
      <c r="AC61" s="238">
        <v>0</v>
      </c>
      <c r="AD61" s="866">
        <v>0</v>
      </c>
      <c r="AE61" s="950"/>
    </row>
    <row r="62" spans="1:31" ht="21.75" customHeight="1" thickBot="1">
      <c r="A62" s="64"/>
      <c r="B62" s="61" t="s">
        <v>72</v>
      </c>
      <c r="C62" s="1310" t="s">
        <v>313</v>
      </c>
      <c r="D62" s="1310"/>
      <c r="E62" s="309">
        <f>'3.sz.m Önk  bev.'!E60+'5.1 sz. m Köz Hiv'!D26+'5.2 sz. m ÁMK'!D29</f>
        <v>304279553</v>
      </c>
      <c r="F62" s="238">
        <f>'3.sz.m Önk  bev.'!F60+'5.1 sz. m Köz Hiv'!E26+'5.2 sz. m ÁMK'!E29</f>
        <v>304279553</v>
      </c>
      <c r="G62" s="238">
        <f>'3.sz.m Önk  bev.'!G60+'5.1 sz. m Köz Hiv'!F26+'5.2 sz. m ÁMK'!F29</f>
        <v>304279553</v>
      </c>
      <c r="H62" s="238">
        <f>'3.sz.m Önk  bev.'!H60+'5.1 sz. m Köz Hiv'!G26+'5.2 sz. m ÁMK'!G29</f>
        <v>306456765</v>
      </c>
      <c r="I62" s="238">
        <f>'3.sz.m Önk  bev.'!I60+'5.1 sz. m Köz Hiv'!H26+'5.2 sz. m ÁMK'!H29</f>
        <v>0</v>
      </c>
      <c r="J62" s="238">
        <f>'3.sz.m Önk  bev.'!J60+'5.1 sz. m Köz Hiv'!I26+'5.2 sz. m ÁMK'!I29</f>
        <v>0</v>
      </c>
      <c r="K62" s="309">
        <f>'3.sz.m Önk  bev.'!L60+'5.1 sz. m Köz Hiv'!L26+'5.2 sz. m ÁMK'!L29</f>
        <v>288643759</v>
      </c>
      <c r="L62" s="238">
        <f>'3.sz.m Önk  bev.'!M60+'5.1 sz. m Köz Hiv'!M26+'5.2 sz. m ÁMK'!M29</f>
        <v>288643759</v>
      </c>
      <c r="M62" s="238">
        <f>'3.sz.m Önk  bev.'!N60+'5.1 sz. m Köz Hiv'!N26+'5.2 sz. m ÁMK'!N29</f>
        <v>288643759</v>
      </c>
      <c r="N62" s="238">
        <f>'3.sz.m Önk  bev.'!O60+'5.1 sz. m Köz Hiv'!O26+'5.2 sz. m ÁMK'!O29</f>
        <v>290820971</v>
      </c>
      <c r="O62" s="238">
        <f>'3.sz.m Önk  bev.'!P60+'5.1 sz. m Köz Hiv'!P26+'5.2 sz. m ÁMK'!P29</f>
        <v>0</v>
      </c>
      <c r="P62" s="238">
        <f>'3.sz.m Önk  bev.'!Q60+'5.1 sz. m Köz Hiv'!Q26+'5.2 sz. m ÁMK'!Q29</f>
        <v>0</v>
      </c>
      <c r="Q62" s="666">
        <f>P62/N62</f>
        <v>0</v>
      </c>
      <c r="R62" s="309">
        <f>+'3.sz.m Önk  bev.'!S60</f>
        <v>15635794</v>
      </c>
      <c r="S62" s="238">
        <f>+'3.sz.m Önk  bev.'!T60</f>
        <v>15635794</v>
      </c>
      <c r="T62" s="238">
        <f>+'3.sz.m Önk  bev.'!U60</f>
        <v>15635794</v>
      </c>
      <c r="U62" s="238">
        <f>+'3.sz.m Önk  bev.'!V60</f>
        <v>15635794</v>
      </c>
      <c r="V62" s="238"/>
      <c r="W62" s="866"/>
      <c r="X62" s="309">
        <v>0</v>
      </c>
      <c r="Y62" s="238">
        <v>0</v>
      </c>
      <c r="Z62" s="238">
        <v>0</v>
      </c>
      <c r="AA62" s="238">
        <v>0</v>
      </c>
      <c r="AB62" s="238">
        <v>0</v>
      </c>
      <c r="AC62" s="238">
        <v>0</v>
      </c>
      <c r="AD62" s="866">
        <v>0</v>
      </c>
      <c r="AE62" s="950"/>
    </row>
    <row r="63" spans="1:31" ht="35.25" customHeight="1" thickBot="1">
      <c r="A63" s="71" t="s">
        <v>55</v>
      </c>
      <c r="B63" s="1309" t="s">
        <v>74</v>
      </c>
      <c r="C63" s="1309"/>
      <c r="D63" s="1309"/>
      <c r="E63" s="298">
        <f aca="true" t="shared" si="30" ref="E63:P63">E58+E59</f>
        <v>926538413</v>
      </c>
      <c r="F63" s="40">
        <f t="shared" si="30"/>
        <v>913086186</v>
      </c>
      <c r="G63" s="40">
        <f>G58+G59</f>
        <v>935101839</v>
      </c>
      <c r="H63" s="40">
        <f>H58+H59</f>
        <v>992603117</v>
      </c>
      <c r="I63" s="40">
        <f t="shared" si="30"/>
        <v>165260474</v>
      </c>
      <c r="J63" s="40">
        <f t="shared" si="30"/>
        <v>0</v>
      </c>
      <c r="K63" s="298">
        <f t="shared" si="30"/>
        <v>891222651</v>
      </c>
      <c r="L63" s="40">
        <f>L58+L59</f>
        <v>869810645</v>
      </c>
      <c r="M63" s="40">
        <f>M58+M59</f>
        <v>891826298</v>
      </c>
      <c r="N63" s="40">
        <f>N58+N59</f>
        <v>954002171</v>
      </c>
      <c r="O63" s="40">
        <f t="shared" si="30"/>
        <v>146605245</v>
      </c>
      <c r="P63" s="40">
        <f t="shared" si="30"/>
        <v>-20150631</v>
      </c>
      <c r="Q63" s="667">
        <f t="shared" si="4"/>
        <v>-0.021122206649569562</v>
      </c>
      <c r="R63" s="298">
        <f aca="true" t="shared" si="31" ref="R63:W63">R58+R59</f>
        <v>35315762</v>
      </c>
      <c r="S63" s="40">
        <f>S58+S59</f>
        <v>43275541</v>
      </c>
      <c r="T63" s="40">
        <f>T58+T59</f>
        <v>43275541</v>
      </c>
      <c r="U63" s="40">
        <f>U58+U59</f>
        <v>38600946</v>
      </c>
      <c r="V63" s="40">
        <f t="shared" si="31"/>
        <v>18884537</v>
      </c>
      <c r="W63" s="726">
        <f t="shared" si="31"/>
        <v>20150631</v>
      </c>
      <c r="X63" s="298">
        <f aca="true" t="shared" si="32" ref="X63:AD63">X58+X59</f>
        <v>7923383</v>
      </c>
      <c r="Y63" s="40">
        <f>Y58+Y59</f>
        <v>7923383</v>
      </c>
      <c r="Z63" s="40">
        <f>Z58+Z59</f>
        <v>7923383</v>
      </c>
      <c r="AA63" s="40">
        <f>AA58+AA59</f>
        <v>7923383</v>
      </c>
      <c r="AB63" s="40">
        <f t="shared" si="32"/>
        <v>5610894</v>
      </c>
      <c r="AC63" s="40">
        <f t="shared" si="32"/>
        <v>5610894</v>
      </c>
      <c r="AD63" s="726">
        <f t="shared" si="32"/>
        <v>5610894</v>
      </c>
      <c r="AE63" s="950"/>
    </row>
    <row r="64" spans="1:31" ht="21.75" customHeight="1" hidden="1" thickBot="1">
      <c r="A64" s="1317" t="s">
        <v>231</v>
      </c>
      <c r="B64" s="1318"/>
      <c r="C64" s="1318"/>
      <c r="D64" s="1318"/>
      <c r="E64" s="476"/>
      <c r="F64" s="477"/>
      <c r="G64" s="477"/>
      <c r="H64" s="477"/>
      <c r="I64" s="477"/>
      <c r="J64" s="477"/>
      <c r="K64" s="476"/>
      <c r="L64" s="477"/>
      <c r="M64" s="477"/>
      <c r="N64" s="477"/>
      <c r="O64" s="477"/>
      <c r="P64" s="477"/>
      <c r="Q64" s="482"/>
      <c r="R64" s="476"/>
      <c r="S64" s="477"/>
      <c r="T64" s="477"/>
      <c r="U64" s="477"/>
      <c r="V64" s="477"/>
      <c r="W64" s="819"/>
      <c r="X64" s="476"/>
      <c r="Y64" s="477"/>
      <c r="Z64" s="477"/>
      <c r="AA64" s="477"/>
      <c r="AB64" s="477"/>
      <c r="AC64" s="477"/>
      <c r="AD64" s="819"/>
      <c r="AE64" s="950"/>
    </row>
    <row r="65" spans="1:31" ht="21.75" customHeight="1" thickBot="1">
      <c r="A65" s="1308" t="s">
        <v>6</v>
      </c>
      <c r="B65" s="1309"/>
      <c r="C65" s="1309"/>
      <c r="D65" s="1309"/>
      <c r="E65" s="332">
        <f aca="true" t="shared" si="33" ref="E65:P65">E63+E64</f>
        <v>926538413</v>
      </c>
      <c r="F65" s="333">
        <f t="shared" si="33"/>
        <v>913086186</v>
      </c>
      <c r="G65" s="333">
        <f t="shared" si="33"/>
        <v>935101839</v>
      </c>
      <c r="H65" s="333">
        <f>H63+H64</f>
        <v>992603117</v>
      </c>
      <c r="I65" s="333">
        <f t="shared" si="33"/>
        <v>165260474</v>
      </c>
      <c r="J65" s="333">
        <f t="shared" si="33"/>
        <v>0</v>
      </c>
      <c r="K65" s="332">
        <f t="shared" si="33"/>
        <v>891222651</v>
      </c>
      <c r="L65" s="333">
        <f>L63+L64</f>
        <v>869810645</v>
      </c>
      <c r="M65" s="333">
        <f>M63+M64</f>
        <v>891826298</v>
      </c>
      <c r="N65" s="333">
        <f>N63+N64</f>
        <v>954002171</v>
      </c>
      <c r="O65" s="333">
        <f t="shared" si="33"/>
        <v>146605245</v>
      </c>
      <c r="P65" s="333">
        <f t="shared" si="33"/>
        <v>-20150631</v>
      </c>
      <c r="Q65" s="335">
        <f t="shared" si="4"/>
        <v>-0.021122206649569562</v>
      </c>
      <c r="R65" s="332">
        <f aca="true" t="shared" si="34" ref="R65:W65">R63+R64</f>
        <v>35315762</v>
      </c>
      <c r="S65" s="333">
        <f>S63+S64</f>
        <v>43275541</v>
      </c>
      <c r="T65" s="333">
        <f>T63+T64</f>
        <v>43275541</v>
      </c>
      <c r="U65" s="333">
        <f>U63+U64</f>
        <v>38600946</v>
      </c>
      <c r="V65" s="333">
        <f t="shared" si="34"/>
        <v>18884537</v>
      </c>
      <c r="W65" s="820">
        <f t="shared" si="34"/>
        <v>20150631</v>
      </c>
      <c r="X65" s="332">
        <f aca="true" t="shared" si="35" ref="X65:AD65">X63+X64</f>
        <v>7923383</v>
      </c>
      <c r="Y65" s="333">
        <f>Y63+Y64</f>
        <v>7923383</v>
      </c>
      <c r="Z65" s="333">
        <f>Z63+Z64</f>
        <v>7923383</v>
      </c>
      <c r="AA65" s="333">
        <f>AA63+AA64</f>
        <v>7923383</v>
      </c>
      <c r="AB65" s="333">
        <f t="shared" si="35"/>
        <v>5610894</v>
      </c>
      <c r="AC65" s="333">
        <f t="shared" si="35"/>
        <v>5610894</v>
      </c>
      <c r="AD65" s="820">
        <f t="shared" si="35"/>
        <v>5610894</v>
      </c>
      <c r="AE65" s="950"/>
    </row>
    <row r="66" spans="1:23" ht="21.75" customHeight="1">
      <c r="A66" s="479"/>
      <c r="B66" s="480"/>
      <c r="C66" s="480"/>
      <c r="D66" s="480"/>
      <c r="E66" s="842" t="str">
        <f>IF(K65+R65=E65," ","HIBA-nincs egyenlőség")</f>
        <v> </v>
      </c>
      <c r="F66" s="481"/>
      <c r="G66" s="481"/>
      <c r="H66" s="481"/>
      <c r="I66" s="481"/>
      <c r="J66" s="481"/>
      <c r="K66" s="481"/>
      <c r="L66" s="481"/>
      <c r="M66" s="810"/>
      <c r="N66" s="810"/>
      <c r="O66" s="810"/>
      <c r="P66" s="481"/>
      <c r="Q66" s="481"/>
      <c r="R66" s="481"/>
      <c r="S66" s="481"/>
      <c r="T66" s="481"/>
      <c r="U66" s="481"/>
      <c r="V66" s="481"/>
      <c r="W66" s="481"/>
    </row>
    <row r="67" spans="1:21" ht="21.75" customHeight="1">
      <c r="A67" s="50"/>
      <c r="B67" s="97"/>
      <c r="C67" s="97"/>
      <c r="D67" s="97"/>
      <c r="E67" s="265"/>
      <c r="F67" s="266"/>
      <c r="G67" s="265"/>
      <c r="H67" s="265"/>
      <c r="I67" s="265"/>
      <c r="J67" s="265"/>
      <c r="K67" s="266"/>
      <c r="S67" s="266"/>
      <c r="T67" s="266"/>
      <c r="U67" s="266"/>
    </row>
    <row r="68" spans="1:21" ht="35.25" customHeight="1">
      <c r="A68" s="50"/>
      <c r="B68" s="97"/>
      <c r="C68" s="97"/>
      <c r="D68" s="97"/>
      <c r="E68" s="266"/>
      <c r="F68" s="266"/>
      <c r="G68" s="266"/>
      <c r="H68" s="266"/>
      <c r="I68" s="265"/>
      <c r="J68" s="266"/>
      <c r="K68" s="266"/>
      <c r="M68" s="266"/>
      <c r="N68" s="266"/>
      <c r="O68" s="266"/>
      <c r="P68" s="266"/>
      <c r="Q68" s="266"/>
      <c r="S68" s="266"/>
      <c r="T68" s="266"/>
      <c r="U68" s="266"/>
    </row>
    <row r="69" spans="1:21" ht="35.25" customHeight="1">
      <c r="A69" s="50"/>
      <c r="B69" s="97"/>
      <c r="C69" s="97"/>
      <c r="D69" s="97"/>
      <c r="E69" s="266"/>
      <c r="F69" s="266"/>
      <c r="G69" s="266"/>
      <c r="H69" s="266"/>
      <c r="I69" s="265"/>
      <c r="J69" s="266"/>
      <c r="K69" s="266"/>
      <c r="L69" s="266"/>
      <c r="N69" s="266"/>
      <c r="O69" s="266"/>
      <c r="P69" s="266"/>
      <c r="Q69" s="266"/>
      <c r="S69" s="266"/>
      <c r="T69" s="266"/>
      <c r="U69" s="266"/>
    </row>
    <row r="70" spans="5:21" ht="12.75">
      <c r="E70" s="266"/>
      <c r="F70" s="266"/>
      <c r="G70" s="266"/>
      <c r="H70" s="266"/>
      <c r="I70" s="266"/>
      <c r="J70" s="266"/>
      <c r="K70" s="266"/>
      <c r="L70" s="266"/>
      <c r="N70" s="266"/>
      <c r="O70" s="266"/>
      <c r="P70" s="266"/>
      <c r="Q70" s="266"/>
      <c r="S70" s="266"/>
      <c r="T70" s="266"/>
      <c r="U70" s="266"/>
    </row>
    <row r="71" spans="5:21" ht="12.75"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S71" s="266"/>
      <c r="T71" s="266"/>
      <c r="U71" s="266"/>
    </row>
    <row r="72" spans="5:21" ht="12.75"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S72" s="266"/>
      <c r="T72" s="266"/>
      <c r="U72" s="266"/>
    </row>
    <row r="73" spans="4:21" ht="12.75">
      <c r="D73" s="58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S73" s="266"/>
      <c r="T73" s="266"/>
      <c r="U73" s="266"/>
    </row>
    <row r="74" spans="4:21" ht="48.75" customHeight="1">
      <c r="D74" s="58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S74" s="266"/>
      <c r="T74" s="266"/>
      <c r="U74" s="266"/>
    </row>
    <row r="75" spans="4:21" ht="46.5" customHeight="1">
      <c r="D75" s="58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S75" s="266"/>
      <c r="T75" s="266"/>
      <c r="U75" s="266"/>
    </row>
    <row r="76" spans="5:21" ht="41.25" customHeight="1"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S76" s="266"/>
      <c r="T76" s="266"/>
      <c r="U76" s="266"/>
    </row>
    <row r="77" spans="5:21" ht="12.75"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S77" s="266"/>
      <c r="T77" s="266"/>
      <c r="U77" s="266"/>
    </row>
    <row r="78" spans="5:21" ht="12.75"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S78" s="266"/>
      <c r="T78" s="266"/>
      <c r="U78" s="266"/>
    </row>
    <row r="79" spans="5:21" ht="12.75"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S79" s="266"/>
      <c r="T79" s="266"/>
      <c r="U79" s="266"/>
    </row>
    <row r="80" spans="5:21" ht="12.75"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S80" s="266"/>
      <c r="T80" s="266"/>
      <c r="U80" s="266"/>
    </row>
    <row r="81" spans="5:21" ht="12.75"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S81" s="266"/>
      <c r="T81" s="266"/>
      <c r="U81" s="266"/>
    </row>
    <row r="82" spans="5:21" ht="12.75"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S82" s="266"/>
      <c r="T82" s="266"/>
      <c r="U82" s="266"/>
    </row>
    <row r="83" spans="5:21" ht="12.75"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S83" s="266"/>
      <c r="T83" s="266"/>
      <c r="U83" s="266"/>
    </row>
    <row r="84" spans="5:21" ht="12.75"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S84" s="266"/>
      <c r="T84" s="266"/>
      <c r="U84" s="266"/>
    </row>
    <row r="85" spans="5:21" ht="12.75">
      <c r="E85" s="266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S85" s="266"/>
      <c r="T85" s="266"/>
      <c r="U85" s="266"/>
    </row>
    <row r="86" spans="5:21" ht="12.75"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S86" s="266"/>
      <c r="T86" s="266"/>
      <c r="U86" s="266"/>
    </row>
    <row r="87" spans="5:21" ht="12.75"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S87" s="266"/>
      <c r="T87" s="266"/>
      <c r="U87" s="266"/>
    </row>
    <row r="88" spans="5:21" ht="12.75"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S88" s="266"/>
      <c r="T88" s="266"/>
      <c r="U88" s="266"/>
    </row>
    <row r="89" spans="5:21" ht="12.75"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S89" s="266"/>
      <c r="T89" s="266"/>
      <c r="U89" s="266"/>
    </row>
    <row r="90" spans="5:21" ht="12.75"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S90" s="266"/>
      <c r="T90" s="266"/>
      <c r="U90" s="266"/>
    </row>
    <row r="91" spans="5:21" ht="12.75"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S91" s="266"/>
      <c r="T91" s="266"/>
      <c r="U91" s="266"/>
    </row>
    <row r="92" spans="5:21" ht="12.75"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S92" s="266"/>
      <c r="T92" s="266"/>
      <c r="U92" s="266"/>
    </row>
    <row r="93" spans="5:21" ht="12.75"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S93" s="266"/>
      <c r="T93" s="266"/>
      <c r="U93" s="266"/>
    </row>
    <row r="94" spans="5:21" ht="12.75"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S94" s="266"/>
      <c r="T94" s="266"/>
      <c r="U94" s="266"/>
    </row>
    <row r="95" spans="5:21" ht="12.75"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S95" s="266"/>
      <c r="T95" s="266"/>
      <c r="U95" s="266"/>
    </row>
    <row r="96" spans="5:21" ht="12.75"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S96" s="266"/>
      <c r="T96" s="266"/>
      <c r="U96" s="266"/>
    </row>
    <row r="97" spans="5:21" ht="12.75"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S97" s="266"/>
      <c r="T97" s="266"/>
      <c r="U97" s="266"/>
    </row>
    <row r="98" spans="5:21" ht="12.75"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S98" s="266"/>
      <c r="T98" s="266"/>
      <c r="U98" s="266"/>
    </row>
    <row r="99" spans="5:21" ht="12.75"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S99" s="266"/>
      <c r="T99" s="266"/>
      <c r="U99" s="266"/>
    </row>
    <row r="100" spans="5:21" ht="12.75"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S100" s="266"/>
      <c r="T100" s="266"/>
      <c r="U100" s="266"/>
    </row>
    <row r="101" spans="5:21" ht="12.75"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S101" s="266"/>
      <c r="T101" s="266"/>
      <c r="U101" s="266"/>
    </row>
    <row r="102" spans="5:21" ht="12.75"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S102" s="266"/>
      <c r="T102" s="266"/>
      <c r="U102" s="266"/>
    </row>
    <row r="103" spans="5:21" ht="12.75"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S103" s="266"/>
      <c r="T103" s="266"/>
      <c r="U103" s="266"/>
    </row>
    <row r="104" spans="5:21" ht="12.75"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S104" s="266"/>
      <c r="T104" s="266"/>
      <c r="U104" s="266"/>
    </row>
    <row r="105" spans="5:21" ht="12.75"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S105" s="266"/>
      <c r="T105" s="266"/>
      <c r="U105" s="266"/>
    </row>
    <row r="106" spans="5:21" ht="12.75"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S106" s="266"/>
      <c r="T106" s="266"/>
      <c r="U106" s="266"/>
    </row>
    <row r="107" spans="5:21" ht="12.75"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S107" s="266"/>
      <c r="T107" s="266"/>
      <c r="U107" s="266"/>
    </row>
    <row r="108" spans="5:21" ht="12.75"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S108" s="266"/>
      <c r="T108" s="266"/>
      <c r="U108" s="266"/>
    </row>
    <row r="109" spans="5:21" ht="12.75"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S109" s="266"/>
      <c r="T109" s="266"/>
      <c r="U109" s="266"/>
    </row>
    <row r="110" spans="5:21" ht="12.75"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S110" s="266"/>
      <c r="T110" s="266"/>
      <c r="U110" s="266"/>
    </row>
    <row r="111" spans="5:21" ht="12.75"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S111" s="266"/>
      <c r="T111" s="266"/>
      <c r="U111" s="266"/>
    </row>
    <row r="112" spans="5:21" ht="12.75"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S112" s="266"/>
      <c r="T112" s="266"/>
      <c r="U112" s="266"/>
    </row>
    <row r="113" spans="5:21" ht="12.75"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S113" s="266"/>
      <c r="T113" s="266"/>
      <c r="U113" s="266"/>
    </row>
    <row r="114" spans="5:21" ht="12.75"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S114" s="266"/>
      <c r="T114" s="266"/>
      <c r="U114" s="266"/>
    </row>
  </sheetData>
  <sheetProtection/>
  <mergeCells count="49">
    <mergeCell ref="C38:D38"/>
    <mergeCell ref="C36:D36"/>
    <mergeCell ref="C34:D34"/>
    <mergeCell ref="A64:D64"/>
    <mergeCell ref="C51:D51"/>
    <mergeCell ref="B59:D59"/>
    <mergeCell ref="B35:D35"/>
    <mergeCell ref="B44:D44"/>
    <mergeCell ref="X5:AD5"/>
    <mergeCell ref="B55:D55"/>
    <mergeCell ref="C56:D56"/>
    <mergeCell ref="C57:D57"/>
    <mergeCell ref="C31:D31"/>
    <mergeCell ref="C54:D54"/>
    <mergeCell ref="C37:D37"/>
    <mergeCell ref="B52:D52"/>
    <mergeCell ref="C40:D40"/>
    <mergeCell ref="C45:D45"/>
    <mergeCell ref="O1:AB1"/>
    <mergeCell ref="C32:D32"/>
    <mergeCell ref="C50:D50"/>
    <mergeCell ref="C46:D46"/>
    <mergeCell ref="C39:D39"/>
    <mergeCell ref="B22:D22"/>
    <mergeCell ref="C23:D23"/>
    <mergeCell ref="C24:D24"/>
    <mergeCell ref="C9:D9"/>
    <mergeCell ref="C30:D30"/>
    <mergeCell ref="A65:D65"/>
    <mergeCell ref="B63:D63"/>
    <mergeCell ref="C62:D62"/>
    <mergeCell ref="C53:D53"/>
    <mergeCell ref="B58:D58"/>
    <mergeCell ref="C61:D61"/>
    <mergeCell ref="C60:D60"/>
    <mergeCell ref="C14:D14"/>
    <mergeCell ref="C33:D33"/>
    <mergeCell ref="C17:D17"/>
    <mergeCell ref="R5:W5"/>
    <mergeCell ref="C26:D26"/>
    <mergeCell ref="C18:D18"/>
    <mergeCell ref="C21:D21"/>
    <mergeCell ref="C25:D25"/>
    <mergeCell ref="A3:R3"/>
    <mergeCell ref="A5:C5"/>
    <mergeCell ref="B7:D7"/>
    <mergeCell ref="B8:D8"/>
    <mergeCell ref="E5:J5"/>
    <mergeCell ref="K5:Q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2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workbookViewId="0" topLeftCell="D1">
      <selection activeCell="K2" sqref="K2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34.7109375" style="9" customWidth="1"/>
    <col min="4" max="4" width="14.28125" style="549" customWidth="1"/>
    <col min="5" max="6" width="15.28125" style="549" customWidth="1"/>
    <col min="7" max="7" width="15.7109375" style="549" customWidth="1"/>
    <col min="8" max="8" width="16.140625" style="549" hidden="1" customWidth="1"/>
    <col min="9" max="9" width="15.57421875" style="549" hidden="1" customWidth="1"/>
    <col min="10" max="10" width="9.7109375" style="549" hidden="1" customWidth="1"/>
    <col min="11" max="11" width="14.140625" style="550" customWidth="1"/>
    <col min="12" max="12" width="13.8515625" style="550" customWidth="1"/>
    <col min="13" max="13" width="15.421875" style="550" customWidth="1"/>
    <col min="14" max="14" width="16.57421875" style="550" customWidth="1"/>
    <col min="15" max="15" width="12.7109375" style="550" hidden="1" customWidth="1"/>
    <col min="16" max="16" width="13.7109375" style="550" hidden="1" customWidth="1"/>
    <col min="17" max="17" width="10.421875" style="550" hidden="1" customWidth="1"/>
    <col min="18" max="18" width="13.00390625" style="550" customWidth="1"/>
    <col min="19" max="19" width="13.7109375" style="550" customWidth="1"/>
    <col min="20" max="20" width="12.421875" style="9" customWidth="1"/>
    <col min="21" max="21" width="12.7109375" style="9" customWidth="1"/>
    <col min="22" max="22" width="11.8515625" style="9" hidden="1" customWidth="1"/>
    <col min="23" max="23" width="12.28125" style="9" hidden="1" customWidth="1"/>
    <col min="24" max="24" width="1.7109375" style="9" hidden="1" customWidth="1"/>
    <col min="25" max="25" width="0" style="9" hidden="1" customWidth="1"/>
    <col min="26" max="16384" width="9.140625" style="9" customWidth="1"/>
  </cols>
  <sheetData>
    <row r="1" spans="4:23" ht="12.75">
      <c r="D1" s="544"/>
      <c r="E1" s="544"/>
      <c r="F1" s="544"/>
      <c r="G1" s="544"/>
      <c r="H1" s="544"/>
      <c r="I1" s="544"/>
      <c r="J1" s="544"/>
      <c r="K1" s="1412" t="s">
        <v>655</v>
      </c>
      <c r="L1" s="1412"/>
      <c r="M1" s="1412"/>
      <c r="N1" s="1412"/>
      <c r="O1" s="1412"/>
      <c r="P1" s="1412"/>
      <c r="Q1" s="1412"/>
      <c r="R1" s="1412"/>
      <c r="S1" s="1412"/>
      <c r="T1" s="1412"/>
      <c r="U1" s="1412"/>
      <c r="V1" s="1412"/>
      <c r="W1" s="1412"/>
    </row>
    <row r="2" spans="4:23" ht="12.75">
      <c r="D2" s="544"/>
      <c r="E2" s="544"/>
      <c r="F2" s="544"/>
      <c r="G2" s="544"/>
      <c r="H2" s="544"/>
      <c r="I2" s="544"/>
      <c r="J2" s="544"/>
      <c r="K2" s="1128"/>
      <c r="L2" s="1128"/>
      <c r="M2" s="1128"/>
      <c r="N2" s="1128"/>
      <c r="O2" s="1128"/>
      <c r="P2" s="1128"/>
      <c r="Q2" s="1128"/>
      <c r="R2" s="1128"/>
      <c r="S2" s="1128"/>
      <c r="T2" s="1128"/>
      <c r="U2" s="1128" t="s">
        <v>654</v>
      </c>
      <c r="V2" s="1128"/>
      <c r="W2" s="1128"/>
    </row>
    <row r="3" spans="1:19" ht="16.5" customHeight="1">
      <c r="A3" s="1413" t="s">
        <v>344</v>
      </c>
      <c r="B3" s="1413"/>
      <c r="C3" s="1413"/>
      <c r="D3" s="1413"/>
      <c r="E3" s="1413"/>
      <c r="F3" s="1413"/>
      <c r="G3" s="1413"/>
      <c r="H3" s="1413"/>
      <c r="I3" s="1413"/>
      <c r="J3" s="1413"/>
      <c r="K3" s="1413"/>
      <c r="L3" s="1413"/>
      <c r="M3" s="1413"/>
      <c r="N3" s="1413"/>
      <c r="O3" s="1413"/>
      <c r="P3" s="1413"/>
      <c r="Q3" s="1413"/>
      <c r="R3" s="1413"/>
      <c r="S3" s="545"/>
    </row>
    <row r="4" spans="1:19" ht="15" customHeight="1">
      <c r="A4" s="1414" t="s">
        <v>562</v>
      </c>
      <c r="B4" s="1414"/>
      <c r="C4" s="1414"/>
      <c r="D4" s="1414"/>
      <c r="E4" s="1414"/>
      <c r="F4" s="1414"/>
      <c r="G4" s="1414"/>
      <c r="H4" s="1414"/>
      <c r="I4" s="1414"/>
      <c r="J4" s="1414"/>
      <c r="K4" s="1414"/>
      <c r="L4" s="1414"/>
      <c r="M4" s="1414"/>
      <c r="N4" s="1414"/>
      <c r="O4" s="1414"/>
      <c r="P4" s="1414"/>
      <c r="Q4" s="1414"/>
      <c r="R4" s="1414"/>
      <c r="S4" s="546"/>
    </row>
    <row r="5" spans="1:19" ht="15" customHeight="1">
      <c r="A5" s="1415" t="s">
        <v>345</v>
      </c>
      <c r="B5" s="1415"/>
      <c r="C5" s="1415"/>
      <c r="D5" s="1415"/>
      <c r="E5" s="1415"/>
      <c r="F5" s="1415"/>
      <c r="G5" s="1415"/>
      <c r="H5" s="1415"/>
      <c r="I5" s="1415"/>
      <c r="J5" s="1415"/>
      <c r="K5" s="1415"/>
      <c r="L5" s="1415"/>
      <c r="M5" s="1415"/>
      <c r="N5" s="1415"/>
      <c r="O5" s="1415"/>
      <c r="P5" s="1415"/>
      <c r="Q5" s="1415"/>
      <c r="R5" s="1415"/>
      <c r="S5" s="547"/>
    </row>
    <row r="6" spans="2:23" ht="13.5" thickBot="1">
      <c r="B6" s="548"/>
      <c r="C6" s="548"/>
      <c r="R6" s="1417" t="s">
        <v>452</v>
      </c>
      <c r="S6" s="1417"/>
      <c r="T6" s="1417"/>
      <c r="U6" s="1417"/>
      <c r="V6" s="1417"/>
      <c r="W6" s="1417"/>
    </row>
    <row r="7" spans="1:25" s="553" customFormat="1" ht="41.25" customHeight="1" thickBot="1">
      <c r="A7" s="551" t="s">
        <v>5</v>
      </c>
      <c r="B7" s="1416" t="s">
        <v>3</v>
      </c>
      <c r="C7" s="1416"/>
      <c r="D7" s="1418" t="s">
        <v>4</v>
      </c>
      <c r="E7" s="1419"/>
      <c r="F7" s="1419"/>
      <c r="G7" s="1419"/>
      <c r="H7" s="1419"/>
      <c r="I7" s="1419"/>
      <c r="J7" s="1420"/>
      <c r="K7" s="1418" t="s">
        <v>346</v>
      </c>
      <c r="L7" s="1419"/>
      <c r="M7" s="1419"/>
      <c r="N7" s="1419"/>
      <c r="O7" s="1419"/>
      <c r="P7" s="1419"/>
      <c r="Q7" s="1420"/>
      <c r="R7" s="1418" t="s">
        <v>347</v>
      </c>
      <c r="S7" s="1419"/>
      <c r="T7" s="1419"/>
      <c r="U7" s="1419"/>
      <c r="V7" s="1419"/>
      <c r="W7" s="1419"/>
      <c r="X7" s="1420"/>
      <c r="Y7" s="552"/>
    </row>
    <row r="8" spans="1:24" s="553" customFormat="1" ht="41.25" customHeight="1" thickBot="1">
      <c r="A8" s="29"/>
      <c r="B8" s="554"/>
      <c r="C8" s="554"/>
      <c r="D8" s="555" t="s">
        <v>62</v>
      </c>
      <c r="E8" s="556" t="s">
        <v>215</v>
      </c>
      <c r="F8" s="556" t="s">
        <v>218</v>
      </c>
      <c r="G8" s="556" t="s">
        <v>220</v>
      </c>
      <c r="H8" s="556" t="s">
        <v>232</v>
      </c>
      <c r="I8" s="556" t="s">
        <v>237</v>
      </c>
      <c r="J8" s="557" t="s">
        <v>332</v>
      </c>
      <c r="K8" s="555" t="s">
        <v>62</v>
      </c>
      <c r="L8" s="556" t="s">
        <v>215</v>
      </c>
      <c r="M8" s="556" t="s">
        <v>218</v>
      </c>
      <c r="N8" s="556" t="s">
        <v>220</v>
      </c>
      <c r="O8" s="556" t="s">
        <v>232</v>
      </c>
      <c r="P8" s="556" t="s">
        <v>237</v>
      </c>
      <c r="Q8" s="557" t="s">
        <v>332</v>
      </c>
      <c r="R8" s="555" t="s">
        <v>62</v>
      </c>
      <c r="S8" s="556" t="s">
        <v>215</v>
      </c>
      <c r="T8" s="556" t="s">
        <v>218</v>
      </c>
      <c r="U8" s="556" t="s">
        <v>220</v>
      </c>
      <c r="V8" s="556" t="s">
        <v>232</v>
      </c>
      <c r="W8" s="556" t="s">
        <v>237</v>
      </c>
      <c r="X8" s="557" t="s">
        <v>332</v>
      </c>
    </row>
    <row r="9" spans="1:24" ht="27.75" customHeight="1">
      <c r="A9" s="30">
        <v>1</v>
      </c>
      <c r="B9" s="1422" t="s">
        <v>348</v>
      </c>
      <c r="C9" s="1422"/>
      <c r="D9" s="558">
        <v>658000</v>
      </c>
      <c r="E9" s="559">
        <v>658000</v>
      </c>
      <c r="F9" s="559">
        <v>658000</v>
      </c>
      <c r="G9" s="559">
        <v>658000</v>
      </c>
      <c r="H9" s="559"/>
      <c r="I9" s="559"/>
      <c r="J9" s="560"/>
      <c r="K9" s="558">
        <v>658000</v>
      </c>
      <c r="L9" s="559">
        <v>658000</v>
      </c>
      <c r="M9" s="559">
        <v>658000</v>
      </c>
      <c r="N9" s="559">
        <v>658000</v>
      </c>
      <c r="O9" s="559"/>
      <c r="P9" s="559"/>
      <c r="Q9" s="560"/>
      <c r="R9" s="558"/>
      <c r="S9" s="559"/>
      <c r="T9" s="559"/>
      <c r="U9" s="559"/>
      <c r="V9" s="559"/>
      <c r="W9" s="559"/>
      <c r="X9" s="561"/>
    </row>
    <row r="10" spans="1:24" ht="27.75" customHeight="1">
      <c r="A10" s="30">
        <v>2</v>
      </c>
      <c r="B10" s="1421" t="s">
        <v>466</v>
      </c>
      <c r="C10" s="1421"/>
      <c r="D10" s="563">
        <v>147634</v>
      </c>
      <c r="E10" s="564">
        <v>147634</v>
      </c>
      <c r="F10" s="564">
        <v>147634</v>
      </c>
      <c r="G10" s="564">
        <v>147634</v>
      </c>
      <c r="H10" s="564"/>
      <c r="I10" s="564"/>
      <c r="J10" s="565"/>
      <c r="K10" s="563">
        <v>147634</v>
      </c>
      <c r="L10" s="564">
        <v>147634</v>
      </c>
      <c r="M10" s="564">
        <v>147634</v>
      </c>
      <c r="N10" s="564">
        <v>147634</v>
      </c>
      <c r="O10" s="564"/>
      <c r="P10" s="564"/>
      <c r="Q10" s="565"/>
      <c r="R10" s="563"/>
      <c r="S10" s="564"/>
      <c r="T10" s="564"/>
      <c r="U10" s="564"/>
      <c r="V10" s="564"/>
      <c r="W10" s="564"/>
      <c r="X10" s="566"/>
    </row>
    <row r="11" spans="1:24" ht="27.75" customHeight="1">
      <c r="A11" s="30">
        <v>3</v>
      </c>
      <c r="B11" s="1421" t="s">
        <v>349</v>
      </c>
      <c r="C11" s="1421"/>
      <c r="D11" s="563">
        <v>2000000</v>
      </c>
      <c r="E11" s="564">
        <v>2000000</v>
      </c>
      <c r="F11" s="564">
        <v>2000000</v>
      </c>
      <c r="G11" s="564">
        <v>2000000</v>
      </c>
      <c r="H11" s="564"/>
      <c r="I11" s="564"/>
      <c r="J11" s="565"/>
      <c r="K11" s="563">
        <v>2000000</v>
      </c>
      <c r="L11" s="564">
        <v>2000000</v>
      </c>
      <c r="M11" s="564">
        <v>2000000</v>
      </c>
      <c r="N11" s="564">
        <v>2000000</v>
      </c>
      <c r="O11" s="564"/>
      <c r="P11" s="564"/>
      <c r="Q11" s="565"/>
      <c r="R11" s="563"/>
      <c r="S11" s="564"/>
      <c r="T11" s="564"/>
      <c r="U11" s="564"/>
      <c r="V11" s="564"/>
      <c r="W11" s="564"/>
      <c r="X11" s="566"/>
    </row>
    <row r="12" spans="1:24" ht="27.75" customHeight="1">
      <c r="A12" s="30">
        <v>4</v>
      </c>
      <c r="B12" s="1421" t="s">
        <v>350</v>
      </c>
      <c r="C12" s="1421"/>
      <c r="D12" s="563">
        <v>1166177</v>
      </c>
      <c r="E12" s="564">
        <v>1166177</v>
      </c>
      <c r="F12" s="564">
        <v>1166177</v>
      </c>
      <c r="G12" s="564">
        <v>1166177</v>
      </c>
      <c r="H12" s="564"/>
      <c r="I12" s="564"/>
      <c r="J12" s="565"/>
      <c r="K12" s="563"/>
      <c r="L12" s="564"/>
      <c r="M12" s="564"/>
      <c r="N12" s="564"/>
      <c r="O12" s="564"/>
      <c r="P12" s="564"/>
      <c r="Q12" s="565"/>
      <c r="R12" s="563">
        <v>1166177</v>
      </c>
      <c r="S12" s="564">
        <v>1166177</v>
      </c>
      <c r="T12" s="564">
        <v>1166177</v>
      </c>
      <c r="U12" s="564">
        <v>1166177</v>
      </c>
      <c r="V12" s="564"/>
      <c r="W12" s="564"/>
      <c r="X12" s="565">
        <f>V12/U12</f>
        <v>0</v>
      </c>
    </row>
    <row r="13" spans="1:24" ht="27.75" customHeight="1">
      <c r="A13" s="30">
        <v>5</v>
      </c>
      <c r="B13" s="1421" t="s">
        <v>351</v>
      </c>
      <c r="C13" s="1421"/>
      <c r="D13" s="563">
        <v>7201677</v>
      </c>
      <c r="E13" s="564">
        <v>7201677</v>
      </c>
      <c r="F13" s="564">
        <v>7201677</v>
      </c>
      <c r="G13" s="564">
        <v>7806883</v>
      </c>
      <c r="H13" s="564"/>
      <c r="I13" s="564"/>
      <c r="J13" s="565"/>
      <c r="K13" s="563">
        <v>7201677</v>
      </c>
      <c r="L13" s="564">
        <v>7201677</v>
      </c>
      <c r="M13" s="564">
        <v>7201677</v>
      </c>
      <c r="N13" s="564">
        <v>7806883</v>
      </c>
      <c r="O13" s="564"/>
      <c r="P13" s="564"/>
      <c r="Q13" s="565"/>
      <c r="R13" s="563"/>
      <c r="S13" s="564"/>
      <c r="T13" s="564"/>
      <c r="U13" s="564"/>
      <c r="V13" s="564"/>
      <c r="W13" s="564"/>
      <c r="X13" s="566"/>
    </row>
    <row r="14" spans="1:24" ht="27.75" customHeight="1">
      <c r="A14" s="30">
        <v>6</v>
      </c>
      <c r="B14" s="1421" t="s">
        <v>352</v>
      </c>
      <c r="C14" s="1421"/>
      <c r="D14" s="563">
        <v>32702978</v>
      </c>
      <c r="E14" s="564">
        <v>29012778</v>
      </c>
      <c r="F14" s="564">
        <v>29265481</v>
      </c>
      <c r="G14" s="564">
        <v>156364528</v>
      </c>
      <c r="H14" s="564"/>
      <c r="I14" s="564"/>
      <c r="J14" s="565"/>
      <c r="K14" s="563">
        <v>32702978</v>
      </c>
      <c r="L14" s="564">
        <v>29012778</v>
      </c>
      <c r="M14" s="564">
        <v>29265481</v>
      </c>
      <c r="N14" s="564">
        <v>156364528</v>
      </c>
      <c r="O14" s="564"/>
      <c r="P14" s="564"/>
      <c r="Q14" s="565"/>
      <c r="R14" s="563"/>
      <c r="S14" s="564"/>
      <c r="T14" s="564"/>
      <c r="U14" s="564"/>
      <c r="V14" s="564"/>
      <c r="W14" s="564"/>
      <c r="X14" s="566"/>
    </row>
    <row r="15" spans="1:24" ht="27.75" customHeight="1">
      <c r="A15" s="30">
        <v>7</v>
      </c>
      <c r="B15" s="562" t="s">
        <v>578</v>
      </c>
      <c r="C15" s="562"/>
      <c r="D15" s="563">
        <v>48252</v>
      </c>
      <c r="E15" s="564">
        <v>48252</v>
      </c>
      <c r="F15" s="564">
        <v>48252</v>
      </c>
      <c r="G15" s="564">
        <v>48252</v>
      </c>
      <c r="H15" s="564"/>
      <c r="I15" s="564"/>
      <c r="J15" s="565"/>
      <c r="K15" s="563">
        <v>48252</v>
      </c>
      <c r="L15" s="564">
        <v>48252</v>
      </c>
      <c r="M15" s="564">
        <v>48252</v>
      </c>
      <c r="N15" s="564">
        <v>48252</v>
      </c>
      <c r="O15" s="564"/>
      <c r="P15" s="564"/>
      <c r="Q15" s="565"/>
      <c r="R15" s="563"/>
      <c r="S15" s="564"/>
      <c r="T15" s="564"/>
      <c r="U15" s="564"/>
      <c r="V15" s="564"/>
      <c r="W15" s="564"/>
      <c r="X15" s="566"/>
    </row>
    <row r="16" spans="1:24" ht="27.75" customHeight="1">
      <c r="A16" s="30">
        <v>8</v>
      </c>
      <c r="B16" s="1421" t="s">
        <v>353</v>
      </c>
      <c r="C16" s="1421"/>
      <c r="D16" s="563">
        <v>2205140</v>
      </c>
      <c r="E16" s="564">
        <v>2205140</v>
      </c>
      <c r="F16" s="564">
        <v>2205140</v>
      </c>
      <c r="G16" s="564">
        <v>2205140</v>
      </c>
      <c r="H16" s="564"/>
      <c r="I16" s="564"/>
      <c r="J16" s="565"/>
      <c r="K16" s="563">
        <v>2205140</v>
      </c>
      <c r="L16" s="564">
        <v>2205140</v>
      </c>
      <c r="M16" s="564">
        <v>2205140</v>
      </c>
      <c r="N16" s="564">
        <v>2205140</v>
      </c>
      <c r="O16" s="564"/>
      <c r="P16" s="564"/>
      <c r="Q16" s="565"/>
      <c r="R16" s="563"/>
      <c r="S16" s="564"/>
      <c r="T16" s="564"/>
      <c r="U16" s="564"/>
      <c r="V16" s="564"/>
      <c r="W16" s="564"/>
      <c r="X16" s="566"/>
    </row>
    <row r="17" spans="1:24" ht="27.75" customHeight="1">
      <c r="A17" s="30">
        <v>9</v>
      </c>
      <c r="B17" s="1421" t="s">
        <v>354</v>
      </c>
      <c r="C17" s="1421"/>
      <c r="D17" s="563">
        <v>187200</v>
      </c>
      <c r="E17" s="564">
        <v>187200</v>
      </c>
      <c r="F17" s="564">
        <v>187200</v>
      </c>
      <c r="G17" s="564">
        <v>187200</v>
      </c>
      <c r="H17" s="564"/>
      <c r="I17" s="564"/>
      <c r="J17" s="565"/>
      <c r="K17" s="563">
        <v>187200</v>
      </c>
      <c r="L17" s="564">
        <v>187200</v>
      </c>
      <c r="M17" s="564">
        <v>187200</v>
      </c>
      <c r="N17" s="564">
        <v>187200</v>
      </c>
      <c r="O17" s="564"/>
      <c r="P17" s="564"/>
      <c r="Q17" s="565"/>
      <c r="R17" s="563"/>
      <c r="S17" s="564"/>
      <c r="T17" s="564"/>
      <c r="U17" s="564"/>
      <c r="V17" s="564"/>
      <c r="W17" s="564"/>
      <c r="X17" s="566"/>
    </row>
    <row r="18" spans="1:24" ht="36" customHeight="1" hidden="1">
      <c r="A18" s="30">
        <v>10</v>
      </c>
      <c r="B18" s="1423" t="s">
        <v>355</v>
      </c>
      <c r="C18" s="1424"/>
      <c r="D18" s="563"/>
      <c r="E18" s="564"/>
      <c r="F18" s="564"/>
      <c r="G18" s="564"/>
      <c r="H18" s="564"/>
      <c r="I18" s="564"/>
      <c r="J18" s="565"/>
      <c r="K18" s="563"/>
      <c r="L18" s="564"/>
      <c r="M18" s="564"/>
      <c r="N18" s="564"/>
      <c r="O18" s="564"/>
      <c r="P18" s="564"/>
      <c r="Q18" s="565"/>
      <c r="R18" s="563"/>
      <c r="S18" s="564"/>
      <c r="T18" s="564"/>
      <c r="U18" s="564"/>
      <c r="V18" s="564"/>
      <c r="W18" s="564"/>
      <c r="X18" s="566"/>
    </row>
    <row r="19" spans="1:24" ht="27.75" customHeight="1">
      <c r="A19" s="30">
        <v>10</v>
      </c>
      <c r="B19" s="1425" t="s">
        <v>356</v>
      </c>
      <c r="C19" s="1425"/>
      <c r="D19" s="567">
        <v>952500</v>
      </c>
      <c r="E19" s="568">
        <v>952500</v>
      </c>
      <c r="F19" s="568">
        <v>952500</v>
      </c>
      <c r="G19" s="568">
        <v>952500</v>
      </c>
      <c r="H19" s="568"/>
      <c r="I19" s="568"/>
      <c r="J19" s="565"/>
      <c r="K19" s="567">
        <v>952500</v>
      </c>
      <c r="L19" s="568">
        <v>952500</v>
      </c>
      <c r="M19" s="568">
        <v>952500</v>
      </c>
      <c r="N19" s="568">
        <v>952500</v>
      </c>
      <c r="O19" s="568"/>
      <c r="P19" s="568"/>
      <c r="Q19" s="565"/>
      <c r="R19" s="567"/>
      <c r="S19" s="568"/>
      <c r="T19" s="568"/>
      <c r="U19" s="568"/>
      <c r="V19" s="568"/>
      <c r="W19" s="568"/>
      <c r="X19" s="569"/>
    </row>
    <row r="20" spans="1:24" ht="27.75" customHeight="1">
      <c r="A20" s="30">
        <v>11</v>
      </c>
      <c r="B20" s="1410" t="s">
        <v>579</v>
      </c>
      <c r="C20" s="1411"/>
      <c r="D20" s="567">
        <v>6198000</v>
      </c>
      <c r="E20" s="568">
        <v>6198000</v>
      </c>
      <c r="F20" s="568">
        <v>6198000</v>
      </c>
      <c r="G20" s="568">
        <v>5898603</v>
      </c>
      <c r="H20" s="568"/>
      <c r="I20" s="568"/>
      <c r="J20" s="565"/>
      <c r="K20" s="567">
        <v>6198000</v>
      </c>
      <c r="L20" s="568">
        <v>6198000</v>
      </c>
      <c r="M20" s="568">
        <v>6198000</v>
      </c>
      <c r="N20" s="568">
        <v>5898603</v>
      </c>
      <c r="O20" s="568"/>
      <c r="P20" s="568"/>
      <c r="Q20" s="565"/>
      <c r="R20" s="567"/>
      <c r="S20" s="568"/>
      <c r="T20" s="568"/>
      <c r="U20" s="568"/>
      <c r="V20" s="568"/>
      <c r="W20" s="568"/>
      <c r="X20" s="569"/>
    </row>
    <row r="21" spans="1:24" ht="27.75" customHeight="1" hidden="1">
      <c r="A21" s="30">
        <v>12</v>
      </c>
      <c r="B21" s="1410" t="s">
        <v>482</v>
      </c>
      <c r="C21" s="1411"/>
      <c r="D21" s="567"/>
      <c r="E21" s="568"/>
      <c r="F21" s="568"/>
      <c r="G21" s="568"/>
      <c r="H21" s="568"/>
      <c r="I21" s="568"/>
      <c r="J21" s="565"/>
      <c r="K21" s="567"/>
      <c r="L21" s="568"/>
      <c r="M21" s="568"/>
      <c r="N21" s="568"/>
      <c r="O21" s="568"/>
      <c r="P21" s="568"/>
      <c r="Q21" s="565"/>
      <c r="R21" s="567"/>
      <c r="S21" s="568"/>
      <c r="T21" s="568"/>
      <c r="U21" s="568"/>
      <c r="V21" s="568"/>
      <c r="W21" s="568"/>
      <c r="X21" s="569"/>
    </row>
    <row r="22" spans="1:24" ht="27.75" customHeight="1">
      <c r="A22" s="30">
        <v>12</v>
      </c>
      <c r="B22" s="1410" t="s">
        <v>507</v>
      </c>
      <c r="C22" s="1411"/>
      <c r="D22" s="567">
        <v>14205002</v>
      </c>
      <c r="E22" s="568">
        <v>14205002</v>
      </c>
      <c r="F22" s="568">
        <v>14205002</v>
      </c>
      <c r="G22" s="568">
        <v>11071082</v>
      </c>
      <c r="H22" s="568"/>
      <c r="I22" s="568"/>
      <c r="J22" s="565"/>
      <c r="K22" s="567"/>
      <c r="L22" s="568"/>
      <c r="M22" s="568"/>
      <c r="N22" s="568"/>
      <c r="O22" s="568"/>
      <c r="P22" s="568"/>
      <c r="Q22" s="565"/>
      <c r="R22" s="567">
        <v>14205002</v>
      </c>
      <c r="S22" s="568">
        <v>14205002</v>
      </c>
      <c r="T22" s="568">
        <v>14205002</v>
      </c>
      <c r="U22" s="568">
        <v>11071082</v>
      </c>
      <c r="V22" s="568"/>
      <c r="W22" s="568"/>
      <c r="X22" s="569"/>
    </row>
    <row r="23" spans="1:24" ht="27.75" customHeight="1" hidden="1">
      <c r="A23" s="30">
        <v>13</v>
      </c>
      <c r="B23" s="1410" t="s">
        <v>483</v>
      </c>
      <c r="C23" s="1411"/>
      <c r="D23" s="567"/>
      <c r="E23" s="568"/>
      <c r="F23" s="568"/>
      <c r="G23" s="568"/>
      <c r="H23" s="568"/>
      <c r="I23" s="568"/>
      <c r="J23" s="565"/>
      <c r="K23" s="567"/>
      <c r="L23" s="568"/>
      <c r="M23" s="568"/>
      <c r="N23" s="568"/>
      <c r="O23" s="568"/>
      <c r="P23" s="568"/>
      <c r="Q23" s="565"/>
      <c r="R23" s="567"/>
      <c r="S23" s="568"/>
      <c r="T23" s="568"/>
      <c r="U23" s="568"/>
      <c r="V23" s="568"/>
      <c r="W23" s="568"/>
      <c r="X23" s="569"/>
    </row>
    <row r="24" spans="1:24" ht="27.75" customHeight="1" hidden="1">
      <c r="A24" s="30">
        <v>15</v>
      </c>
      <c r="B24" s="1410" t="s">
        <v>494</v>
      </c>
      <c r="C24" s="1411"/>
      <c r="D24" s="567"/>
      <c r="E24" s="568"/>
      <c r="F24" s="568"/>
      <c r="G24" s="568"/>
      <c r="H24" s="568"/>
      <c r="I24" s="568"/>
      <c r="J24" s="565"/>
      <c r="K24" s="567"/>
      <c r="L24" s="568"/>
      <c r="M24" s="568"/>
      <c r="N24" s="568"/>
      <c r="O24" s="568"/>
      <c r="P24" s="568"/>
      <c r="Q24" s="565"/>
      <c r="R24" s="567"/>
      <c r="S24" s="568"/>
      <c r="T24" s="568"/>
      <c r="U24" s="568"/>
      <c r="V24" s="568"/>
      <c r="W24" s="568"/>
      <c r="X24" s="569"/>
    </row>
    <row r="25" spans="1:24" ht="27.75" customHeight="1">
      <c r="A25" s="30">
        <v>13</v>
      </c>
      <c r="B25" s="1410" t="s">
        <v>506</v>
      </c>
      <c r="C25" s="1411"/>
      <c r="D25" s="567">
        <v>62464</v>
      </c>
      <c r="E25" s="568">
        <v>62464</v>
      </c>
      <c r="F25" s="568">
        <v>0</v>
      </c>
      <c r="G25" s="568">
        <v>0</v>
      </c>
      <c r="H25" s="568"/>
      <c r="I25" s="568"/>
      <c r="J25" s="565"/>
      <c r="K25" s="567">
        <v>62464</v>
      </c>
      <c r="L25" s="568">
        <v>62464</v>
      </c>
      <c r="M25" s="568">
        <v>0</v>
      </c>
      <c r="N25" s="568">
        <v>0</v>
      </c>
      <c r="O25" s="568"/>
      <c r="P25" s="568"/>
      <c r="Q25" s="565"/>
      <c r="R25" s="567"/>
      <c r="S25" s="568"/>
      <c r="T25" s="568"/>
      <c r="U25" s="568"/>
      <c r="V25" s="568"/>
      <c r="W25" s="568"/>
      <c r="X25" s="569"/>
    </row>
    <row r="26" spans="1:24" ht="27.75" customHeight="1" hidden="1">
      <c r="A26" s="30"/>
      <c r="B26" s="1410" t="s">
        <v>495</v>
      </c>
      <c r="C26" s="1411"/>
      <c r="D26" s="567"/>
      <c r="E26" s="568"/>
      <c r="F26" s="568"/>
      <c r="G26" s="568"/>
      <c r="H26" s="568"/>
      <c r="I26" s="568"/>
      <c r="J26" s="565"/>
      <c r="K26" s="567"/>
      <c r="L26" s="568"/>
      <c r="M26" s="568"/>
      <c r="N26" s="568"/>
      <c r="O26" s="568"/>
      <c r="P26" s="568"/>
      <c r="Q26" s="565"/>
      <c r="R26" s="567"/>
      <c r="S26" s="568"/>
      <c r="T26" s="568"/>
      <c r="U26" s="568"/>
      <c r="V26" s="568"/>
      <c r="W26" s="568"/>
      <c r="X26" s="569"/>
    </row>
    <row r="27" spans="1:24" ht="27.75" customHeight="1" hidden="1" thickBot="1">
      <c r="A27" s="30"/>
      <c r="B27" s="1426" t="s">
        <v>377</v>
      </c>
      <c r="C27" s="1427"/>
      <c r="D27" s="567"/>
      <c r="E27" s="568"/>
      <c r="F27" s="568"/>
      <c r="G27" s="568"/>
      <c r="H27" s="568"/>
      <c r="I27" s="568"/>
      <c r="J27" s="565"/>
      <c r="K27" s="567"/>
      <c r="L27" s="568"/>
      <c r="M27" s="568"/>
      <c r="N27" s="568"/>
      <c r="O27" s="568"/>
      <c r="P27" s="568"/>
      <c r="Q27" s="565"/>
      <c r="R27" s="567"/>
      <c r="S27" s="568"/>
      <c r="T27" s="568"/>
      <c r="U27" s="568"/>
      <c r="V27" s="568"/>
      <c r="W27" s="568"/>
      <c r="X27" s="569"/>
    </row>
    <row r="28" spans="1:24" ht="27.75" customHeight="1">
      <c r="A28" s="30">
        <v>14</v>
      </c>
      <c r="B28" s="1410" t="s">
        <v>580</v>
      </c>
      <c r="C28" s="1411"/>
      <c r="D28" s="567">
        <v>3355850</v>
      </c>
      <c r="E28" s="568">
        <v>3355850</v>
      </c>
      <c r="F28" s="568">
        <v>3355850</v>
      </c>
      <c r="G28" s="568">
        <v>3665146</v>
      </c>
      <c r="H28" s="568"/>
      <c r="I28" s="568"/>
      <c r="J28" s="565"/>
      <c r="K28" s="567">
        <v>3355850</v>
      </c>
      <c r="L28" s="568">
        <v>3355850</v>
      </c>
      <c r="M28" s="568">
        <v>3355850</v>
      </c>
      <c r="N28" s="568">
        <v>3665146</v>
      </c>
      <c r="O28" s="568"/>
      <c r="P28" s="568"/>
      <c r="Q28" s="565"/>
      <c r="R28" s="567"/>
      <c r="S28" s="568"/>
      <c r="T28" s="568"/>
      <c r="U28" s="568"/>
      <c r="V28" s="568"/>
      <c r="W28" s="568"/>
      <c r="X28" s="569"/>
    </row>
    <row r="29" spans="1:24" ht="27.75" customHeight="1" hidden="1">
      <c r="A29" s="30">
        <v>16</v>
      </c>
      <c r="B29" s="1410" t="s">
        <v>505</v>
      </c>
      <c r="C29" s="1411"/>
      <c r="D29" s="567"/>
      <c r="E29" s="568"/>
      <c r="F29" s="568"/>
      <c r="G29" s="568"/>
      <c r="H29" s="568"/>
      <c r="I29" s="568"/>
      <c r="J29" s="565"/>
      <c r="K29" s="567"/>
      <c r="L29" s="568"/>
      <c r="M29" s="568"/>
      <c r="N29" s="568"/>
      <c r="O29" s="568"/>
      <c r="P29" s="568"/>
      <c r="Q29" s="565"/>
      <c r="R29" s="567"/>
      <c r="S29" s="568"/>
      <c r="T29" s="568"/>
      <c r="U29" s="568"/>
      <c r="V29" s="568"/>
      <c r="W29" s="568"/>
      <c r="X29" s="569"/>
    </row>
    <row r="30" spans="1:24" ht="27.75" customHeight="1">
      <c r="A30" s="30">
        <v>15</v>
      </c>
      <c r="B30" s="1410" t="s">
        <v>636</v>
      </c>
      <c r="C30" s="1411"/>
      <c r="D30" s="567"/>
      <c r="E30" s="568"/>
      <c r="F30" s="568"/>
      <c r="G30" s="568">
        <v>101600</v>
      </c>
      <c r="H30" s="568"/>
      <c r="I30" s="568"/>
      <c r="J30" s="565"/>
      <c r="K30" s="567"/>
      <c r="L30" s="568"/>
      <c r="M30" s="568"/>
      <c r="N30" s="568">
        <v>101600</v>
      </c>
      <c r="O30" s="568"/>
      <c r="P30" s="568"/>
      <c r="Q30" s="565"/>
      <c r="R30" s="567"/>
      <c r="S30" s="568"/>
      <c r="T30" s="568"/>
      <c r="U30" s="568"/>
      <c r="V30" s="568"/>
      <c r="W30" s="568"/>
      <c r="X30" s="569"/>
    </row>
    <row r="31" spans="1:24" ht="27.75" customHeight="1" hidden="1">
      <c r="A31" s="980">
        <v>18</v>
      </c>
      <c r="B31" s="1410" t="s">
        <v>495</v>
      </c>
      <c r="C31" s="1429"/>
      <c r="D31" s="981"/>
      <c r="E31" s="982"/>
      <c r="F31" s="982"/>
      <c r="G31" s="982"/>
      <c r="H31" s="982"/>
      <c r="I31" s="982"/>
      <c r="J31" s="983"/>
      <c r="K31" s="981"/>
      <c r="L31" s="982"/>
      <c r="M31" s="982"/>
      <c r="N31" s="982"/>
      <c r="O31" s="982"/>
      <c r="P31" s="982"/>
      <c r="Q31" s="983"/>
      <c r="R31" s="981"/>
      <c r="S31" s="982"/>
      <c r="T31" s="982"/>
      <c r="U31" s="982"/>
      <c r="V31" s="982"/>
      <c r="W31" s="982"/>
      <c r="X31" s="984"/>
    </row>
    <row r="32" spans="1:24" ht="27.75" customHeight="1" hidden="1">
      <c r="A32" s="980">
        <v>19</v>
      </c>
      <c r="B32" s="1410" t="s">
        <v>482</v>
      </c>
      <c r="C32" s="1429"/>
      <c r="D32" s="981"/>
      <c r="E32" s="982"/>
      <c r="F32" s="982"/>
      <c r="G32" s="982"/>
      <c r="H32" s="982"/>
      <c r="I32" s="982"/>
      <c r="J32" s="983"/>
      <c r="K32" s="981"/>
      <c r="L32" s="982"/>
      <c r="M32" s="982"/>
      <c r="N32" s="982"/>
      <c r="O32" s="982"/>
      <c r="P32" s="982"/>
      <c r="Q32" s="983"/>
      <c r="R32" s="981"/>
      <c r="S32" s="982"/>
      <c r="T32" s="982"/>
      <c r="U32" s="982"/>
      <c r="V32" s="982"/>
      <c r="W32" s="982"/>
      <c r="X32" s="984"/>
    </row>
    <row r="33" spans="1:24" ht="27.75" customHeight="1" hidden="1">
      <c r="A33" s="980">
        <v>20</v>
      </c>
      <c r="B33" s="1410" t="s">
        <v>544</v>
      </c>
      <c r="C33" s="1429"/>
      <c r="D33" s="981"/>
      <c r="E33" s="982"/>
      <c r="F33" s="982"/>
      <c r="G33" s="982"/>
      <c r="H33" s="982"/>
      <c r="I33" s="982"/>
      <c r="J33" s="983"/>
      <c r="K33" s="981"/>
      <c r="L33" s="982"/>
      <c r="M33" s="982"/>
      <c r="N33" s="982"/>
      <c r="O33" s="982"/>
      <c r="P33" s="982"/>
      <c r="Q33" s="983"/>
      <c r="R33" s="981"/>
      <c r="S33" s="982"/>
      <c r="T33" s="982"/>
      <c r="U33" s="982"/>
      <c r="V33" s="982"/>
      <c r="W33" s="982"/>
      <c r="X33" s="984"/>
    </row>
    <row r="34" spans="1:24" ht="27.75" customHeight="1" hidden="1">
      <c r="A34" s="980">
        <v>21</v>
      </c>
      <c r="B34" s="1410" t="s">
        <v>545</v>
      </c>
      <c r="C34" s="1429"/>
      <c r="D34" s="981"/>
      <c r="E34" s="982"/>
      <c r="F34" s="982"/>
      <c r="G34" s="982"/>
      <c r="H34" s="982"/>
      <c r="I34" s="982"/>
      <c r="J34" s="983"/>
      <c r="K34" s="981"/>
      <c r="L34" s="982"/>
      <c r="M34" s="982"/>
      <c r="N34" s="982"/>
      <c r="O34" s="982"/>
      <c r="P34" s="982"/>
      <c r="Q34" s="983"/>
      <c r="R34" s="981"/>
      <c r="S34" s="982"/>
      <c r="T34" s="982"/>
      <c r="U34" s="982"/>
      <c r="V34" s="982"/>
      <c r="W34" s="982"/>
      <c r="X34" s="984"/>
    </row>
    <row r="35" spans="1:24" ht="27.75" customHeight="1" hidden="1">
      <c r="A35" s="980"/>
      <c r="B35" s="1410"/>
      <c r="C35" s="1429"/>
      <c r="D35" s="981"/>
      <c r="E35" s="982"/>
      <c r="F35" s="982"/>
      <c r="G35" s="982"/>
      <c r="H35" s="982"/>
      <c r="I35" s="982"/>
      <c r="J35" s="983"/>
      <c r="K35" s="981"/>
      <c r="L35" s="982"/>
      <c r="M35" s="982"/>
      <c r="N35" s="982"/>
      <c r="O35" s="982"/>
      <c r="P35" s="982"/>
      <c r="Q35" s="983"/>
      <c r="R35" s="981"/>
      <c r="S35" s="982"/>
      <c r="T35" s="982"/>
      <c r="U35" s="982"/>
      <c r="V35" s="982"/>
      <c r="W35" s="982"/>
      <c r="X35" s="984"/>
    </row>
    <row r="36" spans="1:24" ht="27.75" customHeight="1" hidden="1">
      <c r="A36" s="980"/>
      <c r="B36" s="1410"/>
      <c r="C36" s="1429"/>
      <c r="D36" s="981"/>
      <c r="E36" s="982"/>
      <c r="F36" s="982"/>
      <c r="G36" s="982"/>
      <c r="H36" s="982"/>
      <c r="I36" s="982"/>
      <c r="J36" s="983"/>
      <c r="K36" s="981"/>
      <c r="L36" s="982"/>
      <c r="M36" s="982"/>
      <c r="N36" s="982"/>
      <c r="O36" s="982"/>
      <c r="P36" s="982"/>
      <c r="Q36" s="983"/>
      <c r="R36" s="981"/>
      <c r="S36" s="982"/>
      <c r="T36" s="982"/>
      <c r="U36" s="982"/>
      <c r="V36" s="982"/>
      <c r="W36" s="982"/>
      <c r="X36" s="984"/>
    </row>
    <row r="37" spans="1:24" ht="27.75" customHeight="1">
      <c r="A37" s="30">
        <v>16</v>
      </c>
      <c r="B37" s="1410" t="s">
        <v>377</v>
      </c>
      <c r="C37" s="1411"/>
      <c r="D37" s="567">
        <v>1595117</v>
      </c>
      <c r="E37" s="568">
        <v>1595117</v>
      </c>
      <c r="F37" s="568">
        <v>1595117</v>
      </c>
      <c r="G37" s="568">
        <v>1840862</v>
      </c>
      <c r="H37" s="568"/>
      <c r="I37" s="568"/>
      <c r="J37" s="565"/>
      <c r="K37" s="567">
        <v>1595117</v>
      </c>
      <c r="L37" s="568">
        <v>1595117</v>
      </c>
      <c r="M37" s="568">
        <v>1595117</v>
      </c>
      <c r="N37" s="568">
        <v>1840862</v>
      </c>
      <c r="O37" s="568"/>
      <c r="P37" s="568"/>
      <c r="Q37" s="565"/>
      <c r="R37" s="567"/>
      <c r="S37" s="568"/>
      <c r="T37" s="568"/>
      <c r="U37" s="568"/>
      <c r="V37" s="568"/>
      <c r="W37" s="568"/>
      <c r="X37" s="569"/>
    </row>
    <row r="38" spans="1:24" ht="27.75" customHeight="1">
      <c r="A38" s="30">
        <v>17</v>
      </c>
      <c r="B38" s="1410" t="s">
        <v>544</v>
      </c>
      <c r="C38" s="1411"/>
      <c r="D38" s="567"/>
      <c r="E38" s="568">
        <v>4360000</v>
      </c>
      <c r="F38" s="568">
        <v>4360000</v>
      </c>
      <c r="G38" s="568">
        <v>4360000</v>
      </c>
      <c r="H38" s="568"/>
      <c r="I38" s="568"/>
      <c r="J38" s="565"/>
      <c r="K38" s="567"/>
      <c r="L38" s="568">
        <v>4360000</v>
      </c>
      <c r="M38" s="568">
        <v>4360000</v>
      </c>
      <c r="N38" s="568">
        <v>4360000</v>
      </c>
      <c r="O38" s="568"/>
      <c r="P38" s="568"/>
      <c r="Q38" s="565"/>
      <c r="R38" s="567"/>
      <c r="S38" s="568"/>
      <c r="T38" s="568"/>
      <c r="U38" s="568"/>
      <c r="V38" s="568"/>
      <c r="W38" s="568"/>
      <c r="X38" s="569"/>
    </row>
    <row r="39" spans="1:24" ht="27.75" customHeight="1">
      <c r="A39" s="30">
        <v>18</v>
      </c>
      <c r="B39" s="1410" t="s">
        <v>635</v>
      </c>
      <c r="C39" s="1411"/>
      <c r="D39" s="567"/>
      <c r="E39" s="568"/>
      <c r="F39" s="568"/>
      <c r="G39" s="568">
        <v>98530</v>
      </c>
      <c r="H39" s="568"/>
      <c r="I39" s="568"/>
      <c r="J39" s="565"/>
      <c r="K39" s="567"/>
      <c r="L39" s="568"/>
      <c r="M39" s="568"/>
      <c r="N39" s="568">
        <v>98530</v>
      </c>
      <c r="O39" s="568"/>
      <c r="P39" s="568"/>
      <c r="Q39" s="565"/>
      <c r="R39" s="567"/>
      <c r="S39" s="568"/>
      <c r="T39" s="568"/>
      <c r="U39" s="568"/>
      <c r="V39" s="568"/>
      <c r="W39" s="568"/>
      <c r="X39" s="569"/>
    </row>
    <row r="40" spans="1:24" ht="27.75" customHeight="1">
      <c r="A40" s="30">
        <v>19</v>
      </c>
      <c r="B40" s="1410" t="s">
        <v>360</v>
      </c>
      <c r="C40" s="1411"/>
      <c r="D40" s="567"/>
      <c r="E40" s="568"/>
      <c r="F40" s="568"/>
      <c r="G40" s="568">
        <v>2137410</v>
      </c>
      <c r="H40" s="568"/>
      <c r="I40" s="568"/>
      <c r="J40" s="565"/>
      <c r="K40" s="567"/>
      <c r="L40" s="568"/>
      <c r="M40" s="568"/>
      <c r="N40" s="568">
        <v>2137410</v>
      </c>
      <c r="O40" s="568"/>
      <c r="P40" s="568"/>
      <c r="Q40" s="565"/>
      <c r="R40" s="567"/>
      <c r="S40" s="568"/>
      <c r="T40" s="568"/>
      <c r="U40" s="568"/>
      <c r="V40" s="568"/>
      <c r="W40" s="568"/>
      <c r="X40" s="569"/>
    </row>
    <row r="41" spans="1:24" ht="27.75" customHeight="1" thickBot="1">
      <c r="A41" s="30">
        <v>20</v>
      </c>
      <c r="B41" s="1410" t="s">
        <v>634</v>
      </c>
      <c r="C41" s="1411"/>
      <c r="D41" s="567"/>
      <c r="E41" s="568"/>
      <c r="F41" s="568"/>
      <c r="G41" s="568">
        <v>2220520</v>
      </c>
      <c r="H41" s="568"/>
      <c r="I41" s="568"/>
      <c r="J41" s="565"/>
      <c r="K41" s="567"/>
      <c r="L41" s="568"/>
      <c r="M41" s="568"/>
      <c r="N41" s="568">
        <v>2220520</v>
      </c>
      <c r="O41" s="568"/>
      <c r="P41" s="568"/>
      <c r="Q41" s="565"/>
      <c r="R41" s="567"/>
      <c r="S41" s="568"/>
      <c r="T41" s="568"/>
      <c r="U41" s="568"/>
      <c r="V41" s="568"/>
      <c r="W41" s="568"/>
      <c r="X41" s="569"/>
    </row>
    <row r="42" spans="1:24" ht="27.75" customHeight="1" hidden="1" thickBot="1">
      <c r="A42" s="30"/>
      <c r="B42" s="1410"/>
      <c r="C42" s="1411"/>
      <c r="D42" s="567"/>
      <c r="E42" s="568"/>
      <c r="F42" s="568"/>
      <c r="G42" s="568"/>
      <c r="H42" s="568"/>
      <c r="I42" s="568"/>
      <c r="J42" s="565"/>
      <c r="K42" s="567"/>
      <c r="L42" s="568"/>
      <c r="M42" s="568"/>
      <c r="N42" s="568"/>
      <c r="O42" s="568"/>
      <c r="P42" s="568"/>
      <c r="Q42" s="565"/>
      <c r="R42" s="567"/>
      <c r="S42" s="568"/>
      <c r="T42" s="568"/>
      <c r="U42" s="568"/>
      <c r="V42" s="568"/>
      <c r="W42" s="568"/>
      <c r="X42" s="569"/>
    </row>
    <row r="43" spans="1:24" ht="32.25" customHeight="1" thickBot="1">
      <c r="A43" s="570"/>
      <c r="B43" s="1428" t="s">
        <v>357</v>
      </c>
      <c r="C43" s="1428"/>
      <c r="D43" s="571">
        <f>SUM(D9:D37)</f>
        <v>72685991</v>
      </c>
      <c r="E43" s="572">
        <f>SUM(E9:E38)</f>
        <v>73355791</v>
      </c>
      <c r="F43" s="572">
        <f>SUM(F9:F38)</f>
        <v>73546030</v>
      </c>
      <c r="G43" s="572">
        <f>SUM(G9:G42)</f>
        <v>202930067</v>
      </c>
      <c r="H43" s="572">
        <f>SUM(H9:H37)</f>
        <v>0</v>
      </c>
      <c r="I43" s="572">
        <f>SUM(I9:I37)</f>
        <v>0</v>
      </c>
      <c r="J43" s="1291">
        <f>SUM(J9:J37)</f>
        <v>0</v>
      </c>
      <c r="K43" s="571">
        <f>SUM(K9:K37)</f>
        <v>57314812</v>
      </c>
      <c r="L43" s="572">
        <f>SUM(L9:L38)</f>
        <v>57984612</v>
      </c>
      <c r="M43" s="572">
        <f>SUM(M9:M38)</f>
        <v>58174851</v>
      </c>
      <c r="N43" s="572">
        <f>SUM(N9:N42)</f>
        <v>190692808</v>
      </c>
      <c r="O43" s="572">
        <f aca="true" t="shared" si="0" ref="O43:U43">SUM(O9:O37)</f>
        <v>0</v>
      </c>
      <c r="P43" s="572">
        <f t="shared" si="0"/>
        <v>0</v>
      </c>
      <c r="Q43" s="1291">
        <f t="shared" si="0"/>
        <v>0</v>
      </c>
      <c r="R43" s="571">
        <f t="shared" si="0"/>
        <v>15371179</v>
      </c>
      <c r="S43" s="572">
        <f t="shared" si="0"/>
        <v>15371179</v>
      </c>
      <c r="T43" s="572">
        <f t="shared" si="0"/>
        <v>15371179</v>
      </c>
      <c r="U43" s="572">
        <f t="shared" si="0"/>
        <v>12237259</v>
      </c>
      <c r="V43" s="572">
        <f>SUM(V9:V19)</f>
        <v>0</v>
      </c>
      <c r="W43" s="572">
        <f>SUM(W9:W19)</f>
        <v>0</v>
      </c>
      <c r="X43" s="573">
        <f>V43/U43</f>
        <v>0</v>
      </c>
    </row>
    <row r="44" spans="4:20" ht="12.75">
      <c r="D44" s="863" t="str">
        <f>IF(D43='4.sz.m.ÖNK kiadás'!E10," ","HIBA-nem egyenlő"=D20)</f>
        <v> </v>
      </c>
      <c r="E44" s="949"/>
      <c r="F44" s="949"/>
      <c r="G44" s="949"/>
      <c r="I44" s="949"/>
      <c r="T44" s="550"/>
    </row>
    <row r="45" spans="4:19" ht="12.75">
      <c r="D45" s="550"/>
      <c r="E45" s="550"/>
      <c r="F45" s="9"/>
      <c r="G45" s="9"/>
      <c r="H45" s="9"/>
      <c r="I45" s="550"/>
      <c r="J45" s="9"/>
      <c r="K45" s="9"/>
      <c r="L45" s="9"/>
      <c r="R45" s="9"/>
      <c r="S45" s="9"/>
    </row>
    <row r="46" spans="4:19" ht="12.75">
      <c r="D46" s="550"/>
      <c r="E46" s="9"/>
      <c r="F46" s="9"/>
      <c r="G46" s="9"/>
      <c r="H46" s="55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4:19" ht="12.75">
      <c r="D47" s="9"/>
      <c r="E47" s="9"/>
      <c r="F47" s="9"/>
      <c r="G47" s="9"/>
      <c r="H47" s="550"/>
      <c r="I47" s="550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4:19" ht="12.7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</sheetData>
  <sheetProtection/>
  <mergeCells count="43">
    <mergeCell ref="B43:C43"/>
    <mergeCell ref="B32:C32"/>
    <mergeCell ref="B36:C36"/>
    <mergeCell ref="B33:C33"/>
    <mergeCell ref="B34:C34"/>
    <mergeCell ref="B31:C31"/>
    <mergeCell ref="B37:C37"/>
    <mergeCell ref="B35:C35"/>
    <mergeCell ref="B38:C38"/>
    <mergeCell ref="B41:C41"/>
    <mergeCell ref="B30:C30"/>
    <mergeCell ref="B25:C25"/>
    <mergeCell ref="B21:C21"/>
    <mergeCell ref="B24:C24"/>
    <mergeCell ref="B22:C22"/>
    <mergeCell ref="B23:C23"/>
    <mergeCell ref="B27:C27"/>
    <mergeCell ref="B28:C28"/>
    <mergeCell ref="B29:C29"/>
    <mergeCell ref="B16:C16"/>
    <mergeCell ref="B17:C17"/>
    <mergeCell ref="B18:C18"/>
    <mergeCell ref="B19:C19"/>
    <mergeCell ref="B20:C20"/>
    <mergeCell ref="B26:C26"/>
    <mergeCell ref="K7:Q7"/>
    <mergeCell ref="R7:X7"/>
    <mergeCell ref="B14:C14"/>
    <mergeCell ref="B9:C9"/>
    <mergeCell ref="B10:C10"/>
    <mergeCell ref="B11:C11"/>
    <mergeCell ref="B12:C12"/>
    <mergeCell ref="B13:C13"/>
    <mergeCell ref="B42:C42"/>
    <mergeCell ref="B39:C39"/>
    <mergeCell ref="B40:C40"/>
    <mergeCell ref="K1:W1"/>
    <mergeCell ref="A3:R3"/>
    <mergeCell ref="A4:R4"/>
    <mergeCell ref="A5:R5"/>
    <mergeCell ref="B7:C7"/>
    <mergeCell ref="R6:W6"/>
    <mergeCell ref="D7:J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70" zoomScaleNormal="70" workbookViewId="0" topLeftCell="C1">
      <selection activeCell="J2" sqref="J2"/>
    </sheetView>
  </sheetViews>
  <sheetFormatPr defaultColWidth="9.140625" defaultRowHeight="12.75"/>
  <cols>
    <col min="1" max="1" width="50.28125" style="11" customWidth="1"/>
    <col min="2" max="2" width="13.28125" style="11" customWidth="1"/>
    <col min="3" max="3" width="22.57421875" style="18" customWidth="1"/>
    <col min="4" max="6" width="17.00390625" style="18" customWidth="1"/>
    <col min="7" max="7" width="18.00390625" style="18" hidden="1" customWidth="1"/>
    <col min="8" max="8" width="19.421875" style="18" hidden="1" customWidth="1"/>
    <col min="9" max="9" width="5.28125" style="18" hidden="1" customWidth="1"/>
    <col min="10" max="10" width="21.00390625" style="18" customWidth="1"/>
    <col min="11" max="13" width="17.00390625" style="18" customWidth="1"/>
    <col min="14" max="14" width="21.421875" style="18" hidden="1" customWidth="1"/>
    <col min="15" max="15" width="17.28125" style="18" hidden="1" customWidth="1"/>
    <col min="16" max="16" width="2.7109375" style="18" hidden="1" customWidth="1"/>
    <col min="17" max="17" width="22.57421875" style="18" customWidth="1"/>
    <col min="18" max="18" width="17.28125" style="11" customWidth="1"/>
    <col min="19" max="19" width="17.421875" style="11" customWidth="1"/>
    <col min="20" max="20" width="18.28125" style="11" customWidth="1"/>
    <col min="21" max="21" width="18.421875" style="11" hidden="1" customWidth="1"/>
    <col min="22" max="22" width="14.421875" style="11" hidden="1" customWidth="1"/>
    <col min="23" max="23" width="16.140625" style="11" hidden="1" customWidth="1"/>
    <col min="24" max="24" width="17.7109375" style="11" customWidth="1"/>
    <col min="25" max="25" width="9.140625" style="11" customWidth="1"/>
    <col min="26" max="26" width="13.28125" style="11" bestFit="1" customWidth="1"/>
    <col min="27" max="27" width="15.57421875" style="11" bestFit="1" customWidth="1"/>
    <col min="28" max="16384" width="9.140625" style="11" customWidth="1"/>
  </cols>
  <sheetData>
    <row r="1" spans="10:21" ht="24.75" customHeight="1">
      <c r="J1" s="1430" t="s">
        <v>657</v>
      </c>
      <c r="K1" s="1430"/>
      <c r="L1" s="1430"/>
      <c r="M1" s="1430"/>
      <c r="N1" s="1430"/>
      <c r="O1" s="1430"/>
      <c r="P1" s="1430"/>
      <c r="Q1" s="1430"/>
      <c r="R1" s="1430"/>
      <c r="S1" s="1430"/>
      <c r="T1" s="1430"/>
      <c r="U1" s="1430"/>
    </row>
    <row r="2" spans="10:21" ht="24.75" customHeight="1">
      <c r="J2" s="1129"/>
      <c r="K2" s="1129"/>
      <c r="L2" s="1129"/>
      <c r="M2" s="1129"/>
      <c r="N2" s="1129"/>
      <c r="O2" s="1129"/>
      <c r="P2" s="1129"/>
      <c r="Q2" s="1129"/>
      <c r="R2" s="1129"/>
      <c r="S2" s="1129"/>
      <c r="T2" s="1129" t="s">
        <v>656</v>
      </c>
      <c r="U2" s="1129"/>
    </row>
    <row r="3" spans="1:17" ht="37.5" customHeight="1">
      <c r="A3" s="1431" t="s">
        <v>358</v>
      </c>
      <c r="B3" s="1431"/>
      <c r="C3" s="1432"/>
      <c r="D3" s="1432"/>
      <c r="E3" s="1432"/>
      <c r="F3" s="1432"/>
      <c r="G3" s="1432"/>
      <c r="H3" s="1432"/>
      <c r="I3" s="1432"/>
      <c r="J3" s="1432"/>
      <c r="K3" s="1432"/>
      <c r="L3" s="1432"/>
      <c r="M3" s="1432"/>
      <c r="N3" s="1432"/>
      <c r="O3" s="1432"/>
      <c r="P3" s="1432"/>
      <c r="Q3" s="1432"/>
    </row>
    <row r="4" spans="1:17" ht="18.75" customHeight="1">
      <c r="A4" s="1433" t="s">
        <v>562</v>
      </c>
      <c r="B4" s="1433"/>
      <c r="C4" s="1433"/>
      <c r="D4" s="1433"/>
      <c r="E4" s="1433"/>
      <c r="F4" s="1433"/>
      <c r="G4" s="1433"/>
      <c r="H4" s="1433"/>
      <c r="I4" s="1433"/>
      <c r="J4" s="1433"/>
      <c r="K4" s="1433"/>
      <c r="L4" s="1433"/>
      <c r="M4" s="1433"/>
      <c r="N4" s="1433"/>
      <c r="O4" s="1433"/>
      <c r="P4" s="1433"/>
      <c r="Q4" s="1433"/>
    </row>
    <row r="5" spans="1:17" ht="15.75">
      <c r="A5" s="1434" t="s">
        <v>359</v>
      </c>
      <c r="B5" s="1434"/>
      <c r="C5" s="1434"/>
      <c r="D5" s="1434"/>
      <c r="E5" s="1434"/>
      <c r="F5" s="1434"/>
      <c r="G5" s="1434"/>
      <c r="H5" s="1434"/>
      <c r="I5" s="1434"/>
      <c r="J5" s="1434"/>
      <c r="K5" s="1434"/>
      <c r="L5" s="1434"/>
      <c r="M5" s="1434"/>
      <c r="N5" s="1434"/>
      <c r="O5" s="1434"/>
      <c r="P5" s="1434"/>
      <c r="Q5" s="1434"/>
    </row>
    <row r="6" spans="1:17" ht="19.5" thickBot="1">
      <c r="A6" s="575"/>
      <c r="B6" s="575"/>
      <c r="Q6" s="574" t="s">
        <v>425</v>
      </c>
    </row>
    <row r="7" spans="1:24" ht="19.5" customHeight="1">
      <c r="A7" s="1435" t="s">
        <v>467</v>
      </c>
      <c r="B7" s="1438" t="s">
        <v>361</v>
      </c>
      <c r="C7" s="1441" t="s">
        <v>4</v>
      </c>
      <c r="D7" s="1442"/>
      <c r="E7" s="1442"/>
      <c r="F7" s="1442"/>
      <c r="G7" s="1442"/>
      <c r="H7" s="1442"/>
      <c r="I7" s="1443"/>
      <c r="J7" s="1441" t="s">
        <v>362</v>
      </c>
      <c r="K7" s="1442"/>
      <c r="L7" s="1442"/>
      <c r="M7" s="1442"/>
      <c r="N7" s="1442"/>
      <c r="O7" s="1442"/>
      <c r="P7" s="1443"/>
      <c r="Q7" s="1441" t="s">
        <v>25</v>
      </c>
      <c r="R7" s="1442"/>
      <c r="S7" s="1442"/>
      <c r="T7" s="1442"/>
      <c r="U7" s="1442"/>
      <c r="V7" s="1442"/>
      <c r="W7" s="1450"/>
      <c r="X7" s="576"/>
    </row>
    <row r="8" spans="1:24" ht="12.75" customHeight="1">
      <c r="A8" s="1436"/>
      <c r="B8" s="1439"/>
      <c r="C8" s="1444"/>
      <c r="D8" s="1445"/>
      <c r="E8" s="1445"/>
      <c r="F8" s="1445"/>
      <c r="G8" s="1445"/>
      <c r="H8" s="1445"/>
      <c r="I8" s="1446"/>
      <c r="J8" s="1444"/>
      <c r="K8" s="1445"/>
      <c r="L8" s="1445"/>
      <c r="M8" s="1445"/>
      <c r="N8" s="1445"/>
      <c r="O8" s="1445"/>
      <c r="P8" s="1446"/>
      <c r="Q8" s="1444"/>
      <c r="R8" s="1445"/>
      <c r="S8" s="1445"/>
      <c r="T8" s="1445"/>
      <c r="U8" s="1445"/>
      <c r="V8" s="1445"/>
      <c r="W8" s="1451"/>
      <c r="X8" s="578"/>
    </row>
    <row r="9" spans="1:24" ht="20.25" customHeight="1" thickBot="1">
      <c r="A9" s="1437"/>
      <c r="B9" s="1440"/>
      <c r="C9" s="1447"/>
      <c r="D9" s="1448"/>
      <c r="E9" s="1448"/>
      <c r="F9" s="1448"/>
      <c r="G9" s="1448"/>
      <c r="H9" s="1448"/>
      <c r="I9" s="1449"/>
      <c r="J9" s="1447"/>
      <c r="K9" s="1448"/>
      <c r="L9" s="1448"/>
      <c r="M9" s="1448"/>
      <c r="N9" s="1448"/>
      <c r="O9" s="1448"/>
      <c r="P9" s="1449"/>
      <c r="Q9" s="1447"/>
      <c r="R9" s="1448"/>
      <c r="S9" s="1448"/>
      <c r="T9" s="1448"/>
      <c r="U9" s="1448"/>
      <c r="V9" s="1448"/>
      <c r="W9" s="1452"/>
      <c r="X9" s="578"/>
    </row>
    <row r="10" spans="1:24" ht="113.25" thickTop="1">
      <c r="A10" s="579"/>
      <c r="B10" s="577"/>
      <c r="C10" s="580" t="s">
        <v>62</v>
      </c>
      <c r="D10" s="580" t="s">
        <v>215</v>
      </c>
      <c r="E10" s="580" t="s">
        <v>218</v>
      </c>
      <c r="F10" s="580" t="s">
        <v>220</v>
      </c>
      <c r="G10" s="581" t="s">
        <v>223</v>
      </c>
      <c r="H10" s="581" t="s">
        <v>237</v>
      </c>
      <c r="I10" s="581" t="s">
        <v>224</v>
      </c>
      <c r="J10" s="580" t="s">
        <v>62</v>
      </c>
      <c r="K10" s="580" t="s">
        <v>215</v>
      </c>
      <c r="L10" s="580" t="s">
        <v>218</v>
      </c>
      <c r="M10" s="580" t="s">
        <v>220</v>
      </c>
      <c r="N10" s="581" t="s">
        <v>232</v>
      </c>
      <c r="O10" s="581" t="s">
        <v>237</v>
      </c>
      <c r="P10" s="581" t="s">
        <v>224</v>
      </c>
      <c r="Q10" s="580" t="s">
        <v>62</v>
      </c>
      <c r="R10" s="580" t="s">
        <v>215</v>
      </c>
      <c r="S10" s="580" t="s">
        <v>218</v>
      </c>
      <c r="T10" s="580" t="s">
        <v>220</v>
      </c>
      <c r="U10" s="581" t="s">
        <v>232</v>
      </c>
      <c r="V10" s="581" t="s">
        <v>237</v>
      </c>
      <c r="W10" s="582" t="s">
        <v>224</v>
      </c>
      <c r="X10" s="578"/>
    </row>
    <row r="11" spans="1:24" ht="27" customHeight="1">
      <c r="A11" s="583" t="s">
        <v>468</v>
      </c>
      <c r="B11" s="584" t="s">
        <v>201</v>
      </c>
      <c r="C11" s="585">
        <v>100000</v>
      </c>
      <c r="D11" s="585">
        <v>100000</v>
      </c>
      <c r="E11" s="585">
        <v>100000</v>
      </c>
      <c r="F11" s="585">
        <f>100000-52000</f>
        <v>48000</v>
      </c>
      <c r="G11" s="585">
        <v>0</v>
      </c>
      <c r="H11" s="585"/>
      <c r="I11" s="587"/>
      <c r="J11" s="585"/>
      <c r="K11" s="585"/>
      <c r="L11" s="585"/>
      <c r="M11" s="585"/>
      <c r="N11" s="586"/>
      <c r="O11" s="585"/>
      <c r="P11" s="587"/>
      <c r="Q11" s="585">
        <v>100000</v>
      </c>
      <c r="R11" s="585">
        <v>100000</v>
      </c>
      <c r="S11" s="585">
        <f>E11-L11</f>
        <v>100000</v>
      </c>
      <c r="T11" s="585">
        <f>100000-52000</f>
        <v>48000</v>
      </c>
      <c r="U11" s="585">
        <f>G11-N11</f>
        <v>0</v>
      </c>
      <c r="V11" s="585"/>
      <c r="W11" s="587">
        <f aca="true" t="shared" si="0" ref="W11:W16">U11/T11</f>
        <v>0</v>
      </c>
      <c r="X11" s="578"/>
    </row>
    <row r="12" spans="1:24" ht="27.75" customHeight="1">
      <c r="A12" s="583" t="s">
        <v>469</v>
      </c>
      <c r="B12" s="584" t="s">
        <v>201</v>
      </c>
      <c r="C12" s="585">
        <v>500000</v>
      </c>
      <c r="D12" s="585">
        <v>500000</v>
      </c>
      <c r="E12" s="585">
        <v>500000</v>
      </c>
      <c r="F12" s="585">
        <v>500000</v>
      </c>
      <c r="G12" s="585">
        <v>220000</v>
      </c>
      <c r="H12" s="585"/>
      <c r="I12" s="587"/>
      <c r="J12" s="585"/>
      <c r="K12" s="585"/>
      <c r="L12" s="585"/>
      <c r="M12" s="585"/>
      <c r="N12" s="585"/>
      <c r="O12" s="585"/>
      <c r="P12" s="587"/>
      <c r="Q12" s="585">
        <v>500000</v>
      </c>
      <c r="R12" s="585">
        <v>500000</v>
      </c>
      <c r="S12" s="585">
        <f aca="true" t="shared" si="1" ref="S12:U18">E12-L12</f>
        <v>500000</v>
      </c>
      <c r="T12" s="585">
        <v>500000</v>
      </c>
      <c r="U12" s="585" t="e">
        <f>#REF!-N12</f>
        <v>#REF!</v>
      </c>
      <c r="V12" s="585"/>
      <c r="W12" s="587" t="e">
        <f t="shared" si="0"/>
        <v>#REF!</v>
      </c>
      <c r="X12" s="578"/>
    </row>
    <row r="13" spans="1:24" ht="27" customHeight="1">
      <c r="A13" s="583" t="s">
        <v>363</v>
      </c>
      <c r="B13" s="584" t="s">
        <v>200</v>
      </c>
      <c r="C13" s="585"/>
      <c r="D13" s="585"/>
      <c r="E13" s="585"/>
      <c r="F13" s="585"/>
      <c r="H13" s="585"/>
      <c r="I13" s="587"/>
      <c r="J13" s="585"/>
      <c r="K13" s="585"/>
      <c r="L13" s="585"/>
      <c r="M13" s="585"/>
      <c r="N13" s="585"/>
      <c r="O13" s="585"/>
      <c r="P13" s="588"/>
      <c r="Q13" s="585"/>
      <c r="R13" s="585"/>
      <c r="S13" s="585">
        <f t="shared" si="1"/>
        <v>0</v>
      </c>
      <c r="T13" s="585"/>
      <c r="U13" s="585">
        <f>G12-N13</f>
        <v>220000</v>
      </c>
      <c r="V13" s="585"/>
      <c r="W13" s="587" t="e">
        <f t="shared" si="0"/>
        <v>#DIV/0!</v>
      </c>
      <c r="X13" s="578"/>
    </row>
    <row r="14" spans="1:26" ht="28.5" customHeight="1">
      <c r="A14" s="583" t="s">
        <v>470</v>
      </c>
      <c r="B14" s="584" t="s">
        <v>201</v>
      </c>
      <c r="C14" s="585">
        <f>150000+500000+500000</f>
        <v>1150000</v>
      </c>
      <c r="D14" s="585">
        <f>150000+500000+500000</f>
        <v>1150000</v>
      </c>
      <c r="E14" s="585">
        <f>150000+500000+500000</f>
        <v>1150000</v>
      </c>
      <c r="F14" s="585">
        <f>150000+500000+500000+52000</f>
        <v>1202000</v>
      </c>
      <c r="G14" s="585">
        <v>1202000</v>
      </c>
      <c r="H14" s="585">
        <f>+G14-F14</f>
        <v>0</v>
      </c>
      <c r="I14" s="587"/>
      <c r="J14" s="585"/>
      <c r="K14" s="585"/>
      <c r="L14" s="585"/>
      <c r="M14" s="585"/>
      <c r="N14" s="585"/>
      <c r="O14" s="585"/>
      <c r="P14" s="588"/>
      <c r="Q14" s="585">
        <f>150000+500000+500000</f>
        <v>1150000</v>
      </c>
      <c r="R14" s="585">
        <f>150000+500000+500000</f>
        <v>1150000</v>
      </c>
      <c r="S14" s="585">
        <f t="shared" si="1"/>
        <v>1150000</v>
      </c>
      <c r="T14" s="585">
        <f>150000+500000+500000+52000</f>
        <v>1202000</v>
      </c>
      <c r="U14" s="585">
        <f t="shared" si="1"/>
        <v>1202000</v>
      </c>
      <c r="V14" s="585"/>
      <c r="W14" s="587">
        <f t="shared" si="0"/>
        <v>1</v>
      </c>
      <c r="X14" s="578"/>
      <c r="Z14" s="18"/>
    </row>
    <row r="15" spans="1:24" ht="32.25" customHeight="1">
      <c r="A15" s="583" t="s">
        <v>471</v>
      </c>
      <c r="B15" s="584" t="s">
        <v>201</v>
      </c>
      <c r="C15" s="585">
        <v>500000</v>
      </c>
      <c r="D15" s="585">
        <v>500000</v>
      </c>
      <c r="E15" s="585">
        <v>500000</v>
      </c>
      <c r="F15" s="585">
        <v>500000</v>
      </c>
      <c r="G15" s="585"/>
      <c r="H15" s="585"/>
      <c r="I15" s="587"/>
      <c r="J15" s="585"/>
      <c r="K15" s="585"/>
      <c r="L15" s="585"/>
      <c r="M15" s="585"/>
      <c r="N15" s="585"/>
      <c r="O15" s="585"/>
      <c r="P15" s="588"/>
      <c r="Q15" s="585">
        <v>500000</v>
      </c>
      <c r="R15" s="585">
        <v>500000</v>
      </c>
      <c r="S15" s="585">
        <f t="shared" si="1"/>
        <v>500000</v>
      </c>
      <c r="T15" s="585">
        <v>500000</v>
      </c>
      <c r="U15" s="585">
        <f t="shared" si="1"/>
        <v>0</v>
      </c>
      <c r="V15" s="585"/>
      <c r="W15" s="587">
        <f t="shared" si="0"/>
        <v>0</v>
      </c>
      <c r="X15" s="578"/>
    </row>
    <row r="16" spans="1:24" ht="33" customHeight="1" thickBot="1">
      <c r="A16" s="583" t="s">
        <v>637</v>
      </c>
      <c r="B16" s="584" t="s">
        <v>200</v>
      </c>
      <c r="C16" s="590"/>
      <c r="D16" s="590"/>
      <c r="E16" s="590"/>
      <c r="F16" s="590">
        <v>32000</v>
      </c>
      <c r="G16" s="590">
        <v>32000</v>
      </c>
      <c r="H16" s="590"/>
      <c r="I16" s="587"/>
      <c r="J16" s="590"/>
      <c r="K16" s="590"/>
      <c r="L16" s="590"/>
      <c r="M16" s="590"/>
      <c r="N16" s="590"/>
      <c r="O16" s="590"/>
      <c r="P16" s="588"/>
      <c r="Q16" s="585"/>
      <c r="R16" s="590"/>
      <c r="S16" s="585">
        <f t="shared" si="1"/>
        <v>0</v>
      </c>
      <c r="T16" s="590">
        <v>32000</v>
      </c>
      <c r="U16" s="585">
        <f t="shared" si="1"/>
        <v>32000</v>
      </c>
      <c r="V16" s="590"/>
      <c r="W16" s="587">
        <f t="shared" si="0"/>
        <v>1</v>
      </c>
      <c r="X16" s="578"/>
    </row>
    <row r="17" spans="1:24" ht="33" customHeight="1" hidden="1">
      <c r="A17" s="583" t="s">
        <v>472</v>
      </c>
      <c r="B17" s="584" t="s">
        <v>201</v>
      </c>
      <c r="C17" s="590"/>
      <c r="D17" s="590"/>
      <c r="E17" s="590"/>
      <c r="F17" s="590"/>
      <c r="G17" s="590"/>
      <c r="H17" s="590"/>
      <c r="I17" s="588"/>
      <c r="J17" s="590"/>
      <c r="K17" s="590"/>
      <c r="L17" s="590"/>
      <c r="M17" s="590"/>
      <c r="N17" s="590"/>
      <c r="O17" s="590"/>
      <c r="P17" s="588"/>
      <c r="Q17" s="585"/>
      <c r="R17" s="590"/>
      <c r="S17" s="585">
        <f t="shared" si="1"/>
        <v>0</v>
      </c>
      <c r="T17" s="585">
        <f t="shared" si="1"/>
        <v>0</v>
      </c>
      <c r="U17" s="585">
        <f t="shared" si="1"/>
        <v>0</v>
      </c>
      <c r="V17" s="590"/>
      <c r="W17" s="744"/>
      <c r="X17" s="578"/>
    </row>
    <row r="18" spans="1:24" ht="33" customHeight="1" hidden="1" thickBot="1">
      <c r="A18" s="761" t="s">
        <v>416</v>
      </c>
      <c r="B18" s="762" t="s">
        <v>201</v>
      </c>
      <c r="C18" s="763"/>
      <c r="D18" s="763"/>
      <c r="E18" s="763"/>
      <c r="F18" s="763"/>
      <c r="G18" s="763"/>
      <c r="H18" s="763"/>
      <c r="I18" s="764"/>
      <c r="J18" s="763"/>
      <c r="K18" s="763"/>
      <c r="L18" s="763"/>
      <c r="M18" s="763"/>
      <c r="N18" s="763"/>
      <c r="O18" s="763"/>
      <c r="P18" s="764"/>
      <c r="Q18" s="590"/>
      <c r="R18" s="763"/>
      <c r="S18" s="585">
        <f t="shared" si="1"/>
        <v>0</v>
      </c>
      <c r="T18" s="590"/>
      <c r="U18" s="590"/>
      <c r="V18" s="763"/>
      <c r="W18" s="744"/>
      <c r="X18" s="578"/>
    </row>
    <row r="19" spans="1:24" ht="33" customHeight="1" hidden="1" thickTop="1">
      <c r="A19" s="583" t="s">
        <v>426</v>
      </c>
      <c r="B19" s="584" t="s">
        <v>201</v>
      </c>
      <c r="C19" s="590"/>
      <c r="D19" s="590"/>
      <c r="E19" s="590"/>
      <c r="F19" s="590"/>
      <c r="G19" s="590"/>
      <c r="H19" s="590"/>
      <c r="I19" s="588"/>
      <c r="J19" s="590"/>
      <c r="K19" s="590"/>
      <c r="L19" s="590"/>
      <c r="M19" s="590"/>
      <c r="N19" s="590"/>
      <c r="O19" s="590"/>
      <c r="P19" s="588"/>
      <c r="Q19" s="590"/>
      <c r="R19" s="590"/>
      <c r="S19" s="590"/>
      <c r="T19" s="590"/>
      <c r="U19" s="590"/>
      <c r="V19" s="590"/>
      <c r="W19" s="744"/>
      <c r="X19" s="766"/>
    </row>
    <row r="20" spans="1:24" ht="33" customHeight="1" hidden="1">
      <c r="A20" s="831" t="s">
        <v>416</v>
      </c>
      <c r="B20" s="832" t="s">
        <v>201</v>
      </c>
      <c r="C20" s="833"/>
      <c r="D20" s="833"/>
      <c r="E20" s="833"/>
      <c r="F20" s="833"/>
      <c r="G20" s="833"/>
      <c r="H20" s="833"/>
      <c r="I20" s="834"/>
      <c r="J20" s="833"/>
      <c r="K20" s="833"/>
      <c r="L20" s="833"/>
      <c r="M20" s="833"/>
      <c r="N20" s="833"/>
      <c r="O20" s="833"/>
      <c r="P20" s="834"/>
      <c r="Q20" s="833"/>
      <c r="R20" s="833"/>
      <c r="S20" s="833"/>
      <c r="T20" s="833"/>
      <c r="U20" s="833"/>
      <c r="V20" s="833"/>
      <c r="W20" s="744"/>
      <c r="X20" s="766"/>
    </row>
    <row r="21" spans="1:24" ht="33" customHeight="1" hidden="1" thickBot="1">
      <c r="A21" s="761" t="s">
        <v>497</v>
      </c>
      <c r="B21" s="762" t="s">
        <v>201</v>
      </c>
      <c r="C21" s="763"/>
      <c r="D21" s="763"/>
      <c r="E21" s="763"/>
      <c r="F21" s="763"/>
      <c r="G21" s="763"/>
      <c r="H21" s="763"/>
      <c r="I21" s="764"/>
      <c r="J21" s="763"/>
      <c r="K21" s="763"/>
      <c r="L21" s="763"/>
      <c r="M21" s="763"/>
      <c r="N21" s="763"/>
      <c r="O21" s="763"/>
      <c r="P21" s="764"/>
      <c r="Q21" s="763"/>
      <c r="R21" s="763"/>
      <c r="S21" s="763"/>
      <c r="T21" s="763"/>
      <c r="U21" s="763"/>
      <c r="V21" s="763"/>
      <c r="W21" s="744"/>
      <c r="X21" s="766"/>
    </row>
    <row r="22" spans="1:24" ht="39" customHeight="1" thickBot="1" thickTop="1">
      <c r="A22" s="591" t="s">
        <v>20</v>
      </c>
      <c r="B22" s="592"/>
      <c r="C22" s="593">
        <f aca="true" t="shared" si="2" ref="C22:H22">SUM(C11:C19)</f>
        <v>2250000</v>
      </c>
      <c r="D22" s="593">
        <f>SUM(D11:D19)</f>
        <v>2250000</v>
      </c>
      <c r="E22" s="593">
        <f>SUM(E11:E19)</f>
        <v>2250000</v>
      </c>
      <c r="F22" s="593">
        <f t="shared" si="2"/>
        <v>2282000</v>
      </c>
      <c r="G22" s="593">
        <f t="shared" si="2"/>
        <v>1454000</v>
      </c>
      <c r="H22" s="593">
        <f t="shared" si="2"/>
        <v>0</v>
      </c>
      <c r="I22" s="593">
        <f aca="true" t="shared" si="3" ref="I22:N22">SUM(I11:I19)</f>
        <v>0</v>
      </c>
      <c r="J22" s="593">
        <f t="shared" si="3"/>
        <v>0</v>
      </c>
      <c r="K22" s="593">
        <f>SUM(K11:K19)</f>
        <v>0</v>
      </c>
      <c r="L22" s="593">
        <f>SUM(L11:L19)</f>
        <v>0</v>
      </c>
      <c r="M22" s="593">
        <f>SUM(M11:M19)</f>
        <v>0</v>
      </c>
      <c r="N22" s="593">
        <f t="shared" si="3"/>
        <v>0</v>
      </c>
      <c r="O22" s="593">
        <f>SUM(O11:P21)</f>
        <v>0</v>
      </c>
      <c r="P22" s="593">
        <f aca="true" t="shared" si="4" ref="P22:U22">SUM(P11:P19)</f>
        <v>0</v>
      </c>
      <c r="Q22" s="593">
        <f t="shared" si="4"/>
        <v>2250000</v>
      </c>
      <c r="R22" s="593">
        <f t="shared" si="4"/>
        <v>2250000</v>
      </c>
      <c r="S22" s="593">
        <f t="shared" si="4"/>
        <v>2250000</v>
      </c>
      <c r="T22" s="593">
        <f t="shared" si="4"/>
        <v>2282000</v>
      </c>
      <c r="U22" s="593" t="e">
        <f t="shared" si="4"/>
        <v>#REF!</v>
      </c>
      <c r="V22" s="593">
        <f>SUM(V11:V21)</f>
        <v>0</v>
      </c>
      <c r="W22" s="594" t="e">
        <f>U22/R22</f>
        <v>#REF!</v>
      </c>
      <c r="X22" s="766"/>
    </row>
    <row r="23" spans="1:24" ht="19.5" customHeight="1">
      <c r="A23" s="595"/>
      <c r="B23" s="595"/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V23" s="18"/>
      <c r="X23" s="597"/>
    </row>
    <row r="24" spans="1:17" ht="66" customHeight="1" hidden="1" thickBot="1">
      <c r="A24" s="1453" t="s">
        <v>364</v>
      </c>
      <c r="B24" s="1453"/>
      <c r="C24" s="1453"/>
      <c r="D24" s="1453"/>
      <c r="E24" s="1453"/>
      <c r="F24" s="1453"/>
      <c r="G24" s="1453"/>
      <c r="H24" s="1453"/>
      <c r="I24" s="1453"/>
      <c r="J24" s="1453"/>
      <c r="K24" s="1453"/>
      <c r="L24" s="1453"/>
      <c r="M24" s="1453"/>
      <c r="N24" s="1453"/>
      <c r="O24" s="1453"/>
      <c r="P24" s="1453"/>
      <c r="Q24" s="1453"/>
    </row>
    <row r="25" spans="1:24" ht="19.5" customHeight="1" hidden="1">
      <c r="A25" s="1435" t="s">
        <v>360</v>
      </c>
      <c r="B25" s="1438" t="s">
        <v>361</v>
      </c>
      <c r="C25" s="1441" t="s">
        <v>4</v>
      </c>
      <c r="D25" s="1442"/>
      <c r="E25" s="1442"/>
      <c r="F25" s="1442"/>
      <c r="G25" s="1442"/>
      <c r="H25" s="1442"/>
      <c r="I25" s="1443"/>
      <c r="J25" s="1441" t="s">
        <v>362</v>
      </c>
      <c r="K25" s="1442"/>
      <c r="L25" s="1442"/>
      <c r="M25" s="1442"/>
      <c r="N25" s="1442"/>
      <c r="O25" s="1442"/>
      <c r="P25" s="1443"/>
      <c r="Q25" s="1441" t="s">
        <v>25</v>
      </c>
      <c r="R25" s="1442"/>
      <c r="S25" s="1442"/>
      <c r="T25" s="1442"/>
      <c r="U25" s="1442"/>
      <c r="V25" s="1442"/>
      <c r="W25" s="1450"/>
      <c r="X25" s="578"/>
    </row>
    <row r="26" spans="1:24" s="599" customFormat="1" ht="19.5" customHeight="1" hidden="1">
      <c r="A26" s="1436"/>
      <c r="B26" s="1439"/>
      <c r="C26" s="1444"/>
      <c r="D26" s="1445"/>
      <c r="E26" s="1445"/>
      <c r="F26" s="1445"/>
      <c r="G26" s="1445"/>
      <c r="H26" s="1445"/>
      <c r="I26" s="1446"/>
      <c r="J26" s="1444"/>
      <c r="K26" s="1445"/>
      <c r="L26" s="1445"/>
      <c r="M26" s="1445"/>
      <c r="N26" s="1445"/>
      <c r="O26" s="1445"/>
      <c r="P26" s="1446"/>
      <c r="Q26" s="1444"/>
      <c r="R26" s="1445"/>
      <c r="S26" s="1445"/>
      <c r="T26" s="1445"/>
      <c r="U26" s="1445"/>
      <c r="V26" s="1445"/>
      <c r="W26" s="1451"/>
      <c r="X26" s="598"/>
    </row>
    <row r="27" spans="1:24" s="599" customFormat="1" ht="19.5" customHeight="1" hidden="1" thickBot="1">
      <c r="A27" s="1437"/>
      <c r="B27" s="1440"/>
      <c r="C27" s="1447"/>
      <c r="D27" s="1448"/>
      <c r="E27" s="1448"/>
      <c r="F27" s="1448"/>
      <c r="G27" s="1448"/>
      <c r="H27" s="1448"/>
      <c r="I27" s="1449"/>
      <c r="J27" s="1447"/>
      <c r="K27" s="1448"/>
      <c r="L27" s="1448"/>
      <c r="M27" s="1448"/>
      <c r="N27" s="1448"/>
      <c r="O27" s="1448"/>
      <c r="P27" s="1449"/>
      <c r="Q27" s="1447"/>
      <c r="R27" s="1448"/>
      <c r="S27" s="1448"/>
      <c r="T27" s="1448"/>
      <c r="U27" s="1448"/>
      <c r="V27" s="1448"/>
      <c r="W27" s="1452"/>
      <c r="X27" s="598"/>
    </row>
    <row r="28" spans="1:24" s="599" customFormat="1" ht="57.75" customHeight="1" hidden="1" thickTop="1">
      <c r="A28" s="600"/>
      <c r="B28" s="601"/>
      <c r="C28" s="581" t="s">
        <v>62</v>
      </c>
      <c r="D28" s="581" t="s">
        <v>215</v>
      </c>
      <c r="E28" s="581" t="s">
        <v>218</v>
      </c>
      <c r="F28" s="580" t="s">
        <v>220</v>
      </c>
      <c r="G28" s="581" t="s">
        <v>232</v>
      </c>
      <c r="H28" s="581" t="s">
        <v>237</v>
      </c>
      <c r="I28" s="581" t="s">
        <v>224</v>
      </c>
      <c r="J28" s="581" t="s">
        <v>62</v>
      </c>
      <c r="K28" s="581" t="s">
        <v>215</v>
      </c>
      <c r="L28" s="581" t="s">
        <v>218</v>
      </c>
      <c r="M28" s="580" t="s">
        <v>220</v>
      </c>
      <c r="N28" s="581" t="s">
        <v>232</v>
      </c>
      <c r="O28" s="581" t="s">
        <v>237</v>
      </c>
      <c r="P28" s="581" t="s">
        <v>224</v>
      </c>
      <c r="Q28" s="581" t="s">
        <v>62</v>
      </c>
      <c r="R28" s="581" t="s">
        <v>215</v>
      </c>
      <c r="S28" s="581" t="s">
        <v>218</v>
      </c>
      <c r="T28" s="581" t="s">
        <v>220</v>
      </c>
      <c r="U28" s="581" t="s">
        <v>232</v>
      </c>
      <c r="V28" s="581" t="s">
        <v>237</v>
      </c>
      <c r="W28" s="582" t="s">
        <v>224</v>
      </c>
      <c r="X28" s="598"/>
    </row>
    <row r="29" spans="1:24" s="599" customFormat="1" ht="34.5" customHeight="1" hidden="1">
      <c r="A29" s="602" t="s">
        <v>486</v>
      </c>
      <c r="B29" s="603" t="s">
        <v>201</v>
      </c>
      <c r="C29" s="605"/>
      <c r="D29" s="605"/>
      <c r="E29" s="605"/>
      <c r="F29" s="605"/>
      <c r="G29" s="605">
        <v>211000</v>
      </c>
      <c r="H29" s="605">
        <v>392000</v>
      </c>
      <c r="I29" s="587"/>
      <c r="J29" s="605"/>
      <c r="K29" s="605"/>
      <c r="L29" s="605"/>
      <c r="M29" s="605"/>
      <c r="N29" s="605">
        <v>211000</v>
      </c>
      <c r="O29" s="605">
        <v>392000</v>
      </c>
      <c r="P29" s="587"/>
      <c r="Q29" s="605"/>
      <c r="R29" s="605"/>
      <c r="S29" s="605"/>
      <c r="T29" s="605"/>
      <c r="U29" s="604"/>
      <c r="V29" s="604"/>
      <c r="W29" s="587" t="e">
        <f>U29/R29</f>
        <v>#DIV/0!</v>
      </c>
      <c r="X29" s="598"/>
    </row>
    <row r="30" spans="1:24" s="599" customFormat="1" ht="15" hidden="1">
      <c r="A30" s="606" t="s">
        <v>365</v>
      </c>
      <c r="B30" s="607" t="s">
        <v>201</v>
      </c>
      <c r="C30" s="605"/>
      <c r="D30" s="605"/>
      <c r="E30" s="605"/>
      <c r="F30" s="605"/>
      <c r="G30" s="605"/>
      <c r="H30" s="605"/>
      <c r="I30" s="587"/>
      <c r="J30" s="605"/>
      <c r="K30" s="605"/>
      <c r="L30" s="605"/>
      <c r="M30" s="605"/>
      <c r="N30" s="605"/>
      <c r="O30" s="604"/>
      <c r="P30" s="587"/>
      <c r="Q30" s="604"/>
      <c r="R30" s="604"/>
      <c r="S30" s="604"/>
      <c r="T30" s="605"/>
      <c r="U30" s="605"/>
      <c r="V30" s="605"/>
      <c r="W30" s="587" t="e">
        <f>U30/R30</f>
        <v>#DIV/0!</v>
      </c>
      <c r="X30" s="598"/>
    </row>
    <row r="31" spans="1:24" s="599" customFormat="1" ht="30.75" customHeight="1" hidden="1">
      <c r="A31" s="606" t="s">
        <v>366</v>
      </c>
      <c r="B31" s="607" t="s">
        <v>201</v>
      </c>
      <c r="C31" s="605"/>
      <c r="D31" s="605"/>
      <c r="E31" s="605"/>
      <c r="F31" s="605"/>
      <c r="G31" s="605"/>
      <c r="H31" s="605"/>
      <c r="I31" s="587"/>
      <c r="J31" s="605"/>
      <c r="K31" s="605"/>
      <c r="L31" s="605"/>
      <c r="M31" s="605"/>
      <c r="N31" s="605"/>
      <c r="O31" s="604"/>
      <c r="P31" s="587"/>
      <c r="Q31" s="604"/>
      <c r="R31" s="604"/>
      <c r="S31" s="604"/>
      <c r="T31" s="605"/>
      <c r="U31" s="605"/>
      <c r="V31" s="605"/>
      <c r="W31" s="587" t="e">
        <f>U31/R31</f>
        <v>#DIV/0!</v>
      </c>
      <c r="X31" s="598"/>
    </row>
    <row r="32" spans="1:24" s="599" customFormat="1" ht="31.5" customHeight="1" hidden="1">
      <c r="A32" s="606" t="s">
        <v>367</v>
      </c>
      <c r="B32" s="607" t="s">
        <v>201</v>
      </c>
      <c r="C32" s="605"/>
      <c r="D32" s="605"/>
      <c r="E32" s="605"/>
      <c r="F32" s="605"/>
      <c r="G32" s="605"/>
      <c r="H32" s="605"/>
      <c r="I32" s="587"/>
      <c r="J32" s="605"/>
      <c r="K32" s="605"/>
      <c r="L32" s="605"/>
      <c r="M32" s="605"/>
      <c r="N32" s="605"/>
      <c r="O32" s="605"/>
      <c r="P32" s="587"/>
      <c r="Q32" s="604"/>
      <c r="R32" s="604"/>
      <c r="S32" s="604"/>
      <c r="T32" s="605"/>
      <c r="U32" s="605"/>
      <c r="V32" s="605"/>
      <c r="W32" s="587" t="e">
        <f>U32/R32</f>
        <v>#DIV/0!</v>
      </c>
      <c r="X32" s="598"/>
    </row>
    <row r="33" spans="1:24" s="599" customFormat="1" ht="31.5" customHeight="1" hidden="1">
      <c r="A33" s="606" t="s">
        <v>368</v>
      </c>
      <c r="B33" s="607" t="s">
        <v>201</v>
      </c>
      <c r="C33" s="590"/>
      <c r="D33" s="590"/>
      <c r="E33" s="590"/>
      <c r="F33" s="590"/>
      <c r="G33" s="590"/>
      <c r="H33" s="590"/>
      <c r="I33" s="589" t="e">
        <f>G33/E33</f>
        <v>#DIV/0!</v>
      </c>
      <c r="J33" s="590"/>
      <c r="K33" s="590"/>
      <c r="L33" s="590"/>
      <c r="M33" s="590"/>
      <c r="N33" s="590"/>
      <c r="O33" s="755"/>
      <c r="P33" s="589" t="e">
        <f>N33/L33</f>
        <v>#DIV/0!</v>
      </c>
      <c r="Q33" s="590"/>
      <c r="R33" s="590"/>
      <c r="S33" s="590"/>
      <c r="T33" s="590"/>
      <c r="U33" s="590">
        <f>G33-N33</f>
        <v>0</v>
      </c>
      <c r="V33" s="755"/>
      <c r="W33" s="589" t="e">
        <f>U33/S33</f>
        <v>#DIV/0!</v>
      </c>
      <c r="X33" s="598"/>
    </row>
    <row r="34" spans="1:24" s="599" customFormat="1" ht="27.75" customHeight="1" hidden="1">
      <c r="A34" s="606" t="s">
        <v>369</v>
      </c>
      <c r="B34" s="607" t="s">
        <v>201</v>
      </c>
      <c r="C34" s="590"/>
      <c r="D34" s="590"/>
      <c r="E34" s="590"/>
      <c r="F34" s="590"/>
      <c r="G34" s="590"/>
      <c r="H34" s="590"/>
      <c r="I34" s="589">
        <v>0</v>
      </c>
      <c r="J34" s="590"/>
      <c r="K34" s="590"/>
      <c r="L34" s="590"/>
      <c r="M34" s="590"/>
      <c r="N34" s="590"/>
      <c r="O34" s="755"/>
      <c r="P34" s="589">
        <v>0</v>
      </c>
      <c r="Q34" s="590"/>
      <c r="R34" s="590"/>
      <c r="S34" s="590"/>
      <c r="T34" s="590"/>
      <c r="U34" s="590">
        <f>G34-N34</f>
        <v>0</v>
      </c>
      <c r="V34" s="755"/>
      <c r="W34" s="589">
        <v>0</v>
      </c>
      <c r="X34" s="598"/>
    </row>
    <row r="35" spans="1:24" ht="33" customHeight="1" hidden="1" thickBot="1">
      <c r="A35" s="608" t="s">
        <v>370</v>
      </c>
      <c r="B35" s="609" t="s">
        <v>201</v>
      </c>
      <c r="C35" s="610"/>
      <c r="D35" s="610"/>
      <c r="E35" s="610"/>
      <c r="F35" s="610"/>
      <c r="G35" s="610"/>
      <c r="H35" s="610"/>
      <c r="I35" s="589">
        <v>0</v>
      </c>
      <c r="J35" s="610"/>
      <c r="K35" s="610"/>
      <c r="L35" s="610"/>
      <c r="M35" s="610"/>
      <c r="N35" s="610"/>
      <c r="O35" s="756"/>
      <c r="P35" s="589">
        <v>0</v>
      </c>
      <c r="Q35" s="610"/>
      <c r="R35" s="610"/>
      <c r="S35" s="610"/>
      <c r="T35" s="610"/>
      <c r="U35" s="610">
        <f>G35-N35</f>
        <v>0</v>
      </c>
      <c r="V35" s="756"/>
      <c r="W35" s="589">
        <v>0</v>
      </c>
      <c r="X35" s="578"/>
    </row>
    <row r="36" spans="1:24" ht="33" customHeight="1" hidden="1" thickBot="1" thickTop="1">
      <c r="A36" s="611"/>
      <c r="B36" s="612"/>
      <c r="C36" s="613"/>
      <c r="D36" s="613"/>
      <c r="E36" s="613"/>
      <c r="F36" s="613"/>
      <c r="G36" s="613"/>
      <c r="H36" s="613"/>
      <c r="I36" s="589">
        <v>0</v>
      </c>
      <c r="J36" s="613"/>
      <c r="K36" s="613"/>
      <c r="L36" s="613"/>
      <c r="M36" s="613"/>
      <c r="N36" s="613"/>
      <c r="O36" s="757"/>
      <c r="P36" s="589">
        <v>0</v>
      </c>
      <c r="Q36" s="613"/>
      <c r="R36" s="613"/>
      <c r="S36" s="613"/>
      <c r="T36" s="613"/>
      <c r="U36" s="613">
        <f>G36-N36</f>
        <v>0</v>
      </c>
      <c r="V36" s="757"/>
      <c r="W36" s="589">
        <v>0</v>
      </c>
      <c r="X36" s="578"/>
    </row>
    <row r="37" spans="1:24" ht="33" customHeight="1" hidden="1" thickBot="1" thickTop="1">
      <c r="A37" s="591" t="s">
        <v>20</v>
      </c>
      <c r="B37" s="592"/>
      <c r="C37" s="593">
        <f aca="true" t="shared" si="5" ref="C37:H37">SUM(C29:C35)</f>
        <v>0</v>
      </c>
      <c r="D37" s="593">
        <f t="shared" si="5"/>
        <v>0</v>
      </c>
      <c r="E37" s="593">
        <f t="shared" si="5"/>
        <v>0</v>
      </c>
      <c r="F37" s="593">
        <f t="shared" si="5"/>
        <v>0</v>
      </c>
      <c r="G37" s="593">
        <f t="shared" si="5"/>
        <v>211000</v>
      </c>
      <c r="H37" s="593">
        <f t="shared" si="5"/>
        <v>392000</v>
      </c>
      <c r="I37" s="594" t="e">
        <f>G37/D37</f>
        <v>#DIV/0!</v>
      </c>
      <c r="J37" s="593">
        <f aca="true" t="shared" si="6" ref="J37:O37">SUM(J29:J35)</f>
        <v>0</v>
      </c>
      <c r="K37" s="593">
        <f t="shared" si="6"/>
        <v>0</v>
      </c>
      <c r="L37" s="593">
        <f t="shared" si="6"/>
        <v>0</v>
      </c>
      <c r="M37" s="593">
        <f t="shared" si="6"/>
        <v>0</v>
      </c>
      <c r="N37" s="593">
        <f t="shared" si="6"/>
        <v>211000</v>
      </c>
      <c r="O37" s="593">
        <f t="shared" si="6"/>
        <v>392000</v>
      </c>
      <c r="P37" s="594" t="e">
        <f>N37/K37</f>
        <v>#DIV/0!</v>
      </c>
      <c r="Q37" s="593">
        <f aca="true" t="shared" si="7" ref="Q37:V37">SUM(Q29:Q35)</f>
        <v>0</v>
      </c>
      <c r="R37" s="593">
        <f t="shared" si="7"/>
        <v>0</v>
      </c>
      <c r="S37" s="593">
        <f t="shared" si="7"/>
        <v>0</v>
      </c>
      <c r="T37" s="593">
        <f t="shared" si="7"/>
        <v>0</v>
      </c>
      <c r="U37" s="593">
        <f t="shared" si="7"/>
        <v>0</v>
      </c>
      <c r="V37" s="593">
        <f t="shared" si="7"/>
        <v>0</v>
      </c>
      <c r="W37" s="594" t="e">
        <f>U37/R37</f>
        <v>#DIV/0!</v>
      </c>
      <c r="X37" s="578"/>
    </row>
    <row r="40" ht="12.75">
      <c r="K40" s="614"/>
    </row>
    <row r="41" ht="12.75">
      <c r="K41" s="614"/>
    </row>
    <row r="42" ht="12.75">
      <c r="K42" s="614"/>
    </row>
    <row r="43" ht="12.75">
      <c r="K43" s="614"/>
    </row>
  </sheetData>
  <sheetProtection/>
  <mergeCells count="15">
    <mergeCell ref="A24:Q24"/>
    <mergeCell ref="A25:A27"/>
    <mergeCell ref="B25:B27"/>
    <mergeCell ref="C25:I27"/>
    <mergeCell ref="J25:P27"/>
    <mergeCell ref="Q25:W27"/>
    <mergeCell ref="J1:U1"/>
    <mergeCell ref="A3:Q3"/>
    <mergeCell ref="A4:Q4"/>
    <mergeCell ref="A5:Q5"/>
    <mergeCell ref="A7:A9"/>
    <mergeCell ref="B7:B9"/>
    <mergeCell ref="C7:I9"/>
    <mergeCell ref="J7:P9"/>
    <mergeCell ref="Q7:W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4"/>
  <sheetViews>
    <sheetView zoomScale="70" zoomScaleNormal="70" workbookViewId="0" topLeftCell="B1">
      <selection activeCell="Q2" sqref="Q2"/>
    </sheetView>
  </sheetViews>
  <sheetFormatPr defaultColWidth="9.140625" defaultRowHeight="12.75"/>
  <cols>
    <col min="1" max="1" width="53.00390625" style="255" customWidth="1"/>
    <col min="2" max="2" width="17.140625" style="13" bestFit="1" customWidth="1"/>
    <col min="3" max="3" width="17.140625" style="13" customWidth="1"/>
    <col min="4" max="5" width="16.421875" style="13" customWidth="1"/>
    <col min="6" max="6" width="15.7109375" style="13" hidden="1" customWidth="1"/>
    <col min="7" max="8" width="16.00390625" style="13" hidden="1" customWidth="1"/>
    <col min="9" max="9" width="17.140625" style="13" customWidth="1"/>
    <col min="10" max="10" width="15.57421875" style="13" customWidth="1"/>
    <col min="11" max="11" width="15.7109375" style="13" customWidth="1"/>
    <col min="12" max="12" width="15.00390625" style="13" customWidth="1"/>
    <col min="13" max="13" width="17.421875" style="13" hidden="1" customWidth="1"/>
    <col min="14" max="14" width="17.28125" style="13" hidden="1" customWidth="1"/>
    <col min="15" max="15" width="14.57421875" style="13" hidden="1" customWidth="1"/>
    <col min="16" max="16" width="13.421875" style="13" hidden="1" customWidth="1"/>
    <col min="17" max="17" width="16.7109375" style="13" customWidth="1"/>
    <col min="18" max="18" width="8.421875" style="13" customWidth="1"/>
    <col min="19" max="19" width="10.140625" style="13" customWidth="1"/>
    <col min="20" max="20" width="11.7109375" style="13" customWidth="1"/>
    <col min="21" max="21" width="11.57421875" style="13" hidden="1" customWidth="1"/>
    <col min="22" max="22" width="17.57421875" style="13" customWidth="1"/>
    <col min="23" max="23" width="13.8515625" style="13" customWidth="1"/>
    <col min="24" max="24" width="14.8515625" style="13" customWidth="1"/>
    <col min="25" max="25" width="14.421875" style="13" customWidth="1"/>
    <col min="26" max="26" width="14.7109375" style="13" hidden="1" customWidth="1"/>
    <col min="27" max="27" width="14.421875" style="13" hidden="1" customWidth="1"/>
    <col min="28" max="28" width="15.421875" style="13" hidden="1" customWidth="1"/>
    <col min="29" max="29" width="15.28125" style="13" customWidth="1"/>
    <col min="30" max="16384" width="9.140625" style="13" customWidth="1"/>
  </cols>
  <sheetData>
    <row r="1" spans="17:26" ht="12.75" customHeight="1">
      <c r="Q1" s="1471" t="s">
        <v>659</v>
      </c>
      <c r="R1" s="1471"/>
      <c r="S1" s="1471"/>
      <c r="T1" s="1471"/>
      <c r="U1" s="1471"/>
      <c r="V1" s="1471"/>
      <c r="W1" s="1471"/>
      <c r="X1" s="1471"/>
      <c r="Y1" s="1471"/>
      <c r="Z1" s="1471"/>
    </row>
    <row r="2" spans="17:26" ht="12.75" customHeight="1">
      <c r="Q2" s="1130"/>
      <c r="R2" s="1130"/>
      <c r="S2" s="1130"/>
      <c r="T2" s="1130"/>
      <c r="U2" s="1130"/>
      <c r="V2" s="1130"/>
      <c r="W2" s="1130"/>
      <c r="X2" s="1130"/>
      <c r="Y2" s="1130" t="s">
        <v>658</v>
      </c>
      <c r="Z2" s="1130"/>
    </row>
    <row r="3" spans="1:22" ht="18">
      <c r="A3" s="1454" t="s">
        <v>455</v>
      </c>
      <c r="B3" s="1454"/>
      <c r="C3" s="1454"/>
      <c r="D3" s="1454"/>
      <c r="E3" s="1454"/>
      <c r="F3" s="1454"/>
      <c r="G3" s="1454"/>
      <c r="H3" s="1454"/>
      <c r="I3" s="1454"/>
      <c r="J3" s="1454"/>
      <c r="K3" s="1454"/>
      <c r="L3" s="1454"/>
      <c r="M3" s="1454"/>
      <c r="N3" s="1454"/>
      <c r="O3" s="1454"/>
      <c r="P3" s="1454"/>
      <c r="Q3" s="1454"/>
      <c r="R3" s="1454"/>
      <c r="S3" s="1454"/>
      <c r="T3" s="1454"/>
      <c r="U3" s="1454"/>
      <c r="V3" s="1454"/>
    </row>
    <row r="4" spans="1:22" ht="15.75">
      <c r="A4" s="1455" t="s">
        <v>562</v>
      </c>
      <c r="B4" s="1455"/>
      <c r="C4" s="1455"/>
      <c r="D4" s="1455"/>
      <c r="E4" s="1455"/>
      <c r="F4" s="1455"/>
      <c r="G4" s="1455"/>
      <c r="H4" s="1455"/>
      <c r="I4" s="1455"/>
      <c r="J4" s="1455"/>
      <c r="K4" s="1455"/>
      <c r="L4" s="1455"/>
      <c r="M4" s="1455"/>
      <c r="N4" s="1455"/>
      <c r="O4" s="1455"/>
      <c r="P4" s="1455"/>
      <c r="Q4" s="1455"/>
      <c r="R4" s="1455"/>
      <c r="S4" s="1455"/>
      <c r="T4" s="1455"/>
      <c r="U4" s="1455"/>
      <c r="V4" s="1455"/>
    </row>
    <row r="5" spans="1:22" ht="14.25">
      <c r="A5" s="1456" t="s">
        <v>190</v>
      </c>
      <c r="B5" s="1456"/>
      <c r="C5" s="1456"/>
      <c r="D5" s="1456"/>
      <c r="E5" s="1456"/>
      <c r="F5" s="1456"/>
      <c r="G5" s="1456"/>
      <c r="H5" s="1456"/>
      <c r="I5" s="1456"/>
      <c r="J5" s="1456"/>
      <c r="K5" s="1456"/>
      <c r="L5" s="1456"/>
      <c r="M5" s="1456"/>
      <c r="N5" s="1456"/>
      <c r="O5" s="1456"/>
      <c r="P5" s="1456"/>
      <c r="Q5" s="1456"/>
      <c r="R5" s="1456"/>
      <c r="S5" s="1456"/>
      <c r="T5" s="1456"/>
      <c r="U5" s="1456"/>
      <c r="V5" s="1456"/>
    </row>
    <row r="6" spans="1:22" ht="14.25">
      <c r="A6" s="809"/>
      <c r="B6" s="809"/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36">
        <f>SUM(O12,O20)</f>
        <v>0</v>
      </c>
      <c r="P6" s="809"/>
      <c r="Q6" s="809"/>
      <c r="R6" s="809"/>
      <c r="S6" s="809"/>
      <c r="T6" s="809"/>
      <c r="U6" s="809"/>
      <c r="V6" s="809"/>
    </row>
    <row r="7" spans="1:22" ht="18.75" thickBot="1">
      <c r="A7" s="811" t="s">
        <v>456</v>
      </c>
      <c r="V7" s="10" t="s">
        <v>425</v>
      </c>
    </row>
    <row r="8" spans="1:29" ht="24.75" customHeight="1">
      <c r="A8" s="1457" t="s">
        <v>21</v>
      </c>
      <c r="B8" s="1459" t="s">
        <v>22</v>
      </c>
      <c r="C8" s="1460"/>
      <c r="D8" s="1460"/>
      <c r="E8" s="1460"/>
      <c r="F8" s="1460"/>
      <c r="G8" s="1460"/>
      <c r="H8" s="1460"/>
      <c r="I8" s="1460"/>
      <c r="J8" s="1460"/>
      <c r="K8" s="1460"/>
      <c r="L8" s="1460"/>
      <c r="M8" s="1460"/>
      <c r="N8" s="1460"/>
      <c r="O8" s="1460"/>
      <c r="P8" s="1460"/>
      <c r="Q8" s="1461" t="s">
        <v>23</v>
      </c>
      <c r="R8" s="1462"/>
      <c r="S8" s="1462"/>
      <c r="T8" s="1462"/>
      <c r="U8" s="1462"/>
      <c r="V8" s="1462"/>
      <c r="W8" s="1462"/>
      <c r="X8" s="1462"/>
      <c r="Y8" s="1462"/>
      <c r="Z8" s="1462"/>
      <c r="AA8" s="1459"/>
      <c r="AB8" s="1463"/>
      <c r="AC8" s="470"/>
    </row>
    <row r="9" spans="1:29" ht="24.75" customHeight="1">
      <c r="A9" s="1458"/>
      <c r="B9" s="1464" t="s">
        <v>60</v>
      </c>
      <c r="C9" s="1465"/>
      <c r="D9" s="1465"/>
      <c r="E9" s="1465"/>
      <c r="F9" s="1465"/>
      <c r="G9" s="1465"/>
      <c r="H9" s="1466"/>
      <c r="I9" s="1464" t="s">
        <v>61</v>
      </c>
      <c r="J9" s="1465"/>
      <c r="K9" s="1465"/>
      <c r="L9" s="1465"/>
      <c r="M9" s="1465"/>
      <c r="N9" s="1465"/>
      <c r="O9" s="1465"/>
      <c r="P9" s="1465"/>
      <c r="Q9" s="1467" t="s">
        <v>60</v>
      </c>
      <c r="R9" s="1468"/>
      <c r="S9" s="1468"/>
      <c r="T9" s="1468"/>
      <c r="U9" s="1468"/>
      <c r="V9" s="1468" t="s">
        <v>61</v>
      </c>
      <c r="W9" s="1468"/>
      <c r="X9" s="1468"/>
      <c r="Y9" s="1468"/>
      <c r="Z9" s="1468"/>
      <c r="AA9" s="1464"/>
      <c r="AB9" s="1470"/>
      <c r="AC9" s="470"/>
    </row>
    <row r="10" spans="1:29" ht="42" customHeight="1">
      <c r="A10" s="249"/>
      <c r="B10" s="250" t="s">
        <v>216</v>
      </c>
      <c r="C10" s="250" t="s">
        <v>214</v>
      </c>
      <c r="D10" s="472" t="s">
        <v>219</v>
      </c>
      <c r="E10" s="250" t="s">
        <v>221</v>
      </c>
      <c r="F10" s="250" t="s">
        <v>415</v>
      </c>
      <c r="G10" s="250" t="s">
        <v>419</v>
      </c>
      <c r="H10" s="250" t="s">
        <v>224</v>
      </c>
      <c r="I10" s="250" t="s">
        <v>216</v>
      </c>
      <c r="J10" s="1120" t="s">
        <v>214</v>
      </c>
      <c r="K10" s="1292" t="s">
        <v>219</v>
      </c>
      <c r="L10" s="731" t="s">
        <v>221</v>
      </c>
      <c r="M10" s="250" t="s">
        <v>378</v>
      </c>
      <c r="N10" s="250" t="s">
        <v>419</v>
      </c>
      <c r="O10" s="759" t="s">
        <v>378</v>
      </c>
      <c r="P10" s="736" t="s">
        <v>224</v>
      </c>
      <c r="Q10" s="732" t="s">
        <v>216</v>
      </c>
      <c r="R10" s="250" t="s">
        <v>214</v>
      </c>
      <c r="S10" s="472" t="s">
        <v>219</v>
      </c>
      <c r="T10" s="250" t="s">
        <v>221</v>
      </c>
      <c r="U10" s="250" t="s">
        <v>419</v>
      </c>
      <c r="V10" s="250" t="s">
        <v>216</v>
      </c>
      <c r="W10" s="250" t="s">
        <v>214</v>
      </c>
      <c r="X10" s="472" t="s">
        <v>219</v>
      </c>
      <c r="Y10" s="250" t="s">
        <v>221</v>
      </c>
      <c r="Z10" s="250" t="s">
        <v>415</v>
      </c>
      <c r="AA10" s="250" t="s">
        <v>419</v>
      </c>
      <c r="AB10" s="250" t="s">
        <v>224</v>
      </c>
      <c r="AC10" s="470"/>
    </row>
    <row r="11" spans="1:29" ht="18">
      <c r="A11" s="20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21"/>
      <c r="P11" s="688"/>
      <c r="Q11" s="323"/>
      <c r="R11" s="24"/>
      <c r="S11" s="24"/>
      <c r="T11" s="24"/>
      <c r="U11" s="24"/>
      <c r="V11" s="26"/>
      <c r="W11" s="26"/>
      <c r="X11" s="26"/>
      <c r="Y11" s="26"/>
      <c r="Z11" s="26"/>
      <c r="AA11" s="322"/>
      <c r="AB11" s="44"/>
      <c r="AC11" s="470"/>
    </row>
    <row r="12" spans="1:29" ht="18">
      <c r="A12" s="20" t="s">
        <v>508</v>
      </c>
      <c r="B12" s="23"/>
      <c r="C12" s="23"/>
      <c r="D12" s="23"/>
      <c r="E12" s="23"/>
      <c r="F12" s="23"/>
      <c r="G12" s="23"/>
      <c r="H12" s="23"/>
      <c r="I12" s="23"/>
      <c r="J12" s="23">
        <v>7610000</v>
      </c>
      <c r="K12" s="23">
        <v>7610000</v>
      </c>
      <c r="L12" s="23">
        <v>3500000</v>
      </c>
      <c r="M12" s="23">
        <v>3500000</v>
      </c>
      <c r="N12" s="23"/>
      <c r="O12" s="835"/>
      <c r="P12" s="688"/>
      <c r="Q12" s="323"/>
      <c r="R12" s="24"/>
      <c r="S12" s="24"/>
      <c r="T12" s="24"/>
      <c r="U12" s="24"/>
      <c r="V12" s="26"/>
      <c r="W12" s="26"/>
      <c r="X12" s="26"/>
      <c r="Y12" s="26"/>
      <c r="Z12" s="26"/>
      <c r="AA12" s="26"/>
      <c r="AB12" s="44"/>
      <c r="AC12" s="470"/>
    </row>
    <row r="13" spans="1:29" ht="18" hidden="1">
      <c r="A13" s="20" t="s">
        <v>473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835"/>
      <c r="P13" s="688"/>
      <c r="Q13" s="323"/>
      <c r="R13" s="24"/>
      <c r="S13" s="24"/>
      <c r="T13" s="24"/>
      <c r="U13" s="24"/>
      <c r="V13" s="26"/>
      <c r="W13" s="26"/>
      <c r="X13" s="26"/>
      <c r="Y13" s="26"/>
      <c r="Z13" s="26"/>
      <c r="AA13" s="26"/>
      <c r="AB13" s="44"/>
      <c r="AC13" s="470"/>
    </row>
    <row r="14" spans="1:29" ht="30.75" hidden="1">
      <c r="A14" s="20" t="s">
        <v>481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21"/>
      <c r="P14" s="321"/>
      <c r="Q14" s="323"/>
      <c r="R14" s="24"/>
      <c r="S14" s="24"/>
      <c r="T14" s="24"/>
      <c r="U14" s="24"/>
      <c r="V14" s="26"/>
      <c r="W14" s="26"/>
      <c r="X14" s="26"/>
      <c r="Y14" s="26"/>
      <c r="Z14" s="26"/>
      <c r="AA14" s="26"/>
      <c r="AB14" s="44"/>
      <c r="AC14" s="470"/>
    </row>
    <row r="15" spans="1:29" ht="18" hidden="1">
      <c r="A15" s="21" t="s">
        <v>208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21"/>
      <c r="P15" s="688"/>
      <c r="Q15" s="323"/>
      <c r="R15" s="24"/>
      <c r="S15" s="24"/>
      <c r="T15" s="24"/>
      <c r="U15" s="24"/>
      <c r="V15" s="26"/>
      <c r="W15" s="26"/>
      <c r="X15" s="26"/>
      <c r="Y15" s="26"/>
      <c r="Z15" s="26"/>
      <c r="AA15" s="26"/>
      <c r="AB15" s="44"/>
      <c r="AC15" s="470"/>
    </row>
    <row r="16" spans="1:29" ht="18" hidden="1">
      <c r="A16" s="21" t="s">
        <v>209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21"/>
      <c r="P16" s="688"/>
      <c r="Q16" s="323"/>
      <c r="R16" s="24"/>
      <c r="S16" s="24"/>
      <c r="T16" s="24"/>
      <c r="U16" s="24"/>
      <c r="V16" s="26"/>
      <c r="W16" s="26"/>
      <c r="X16" s="26"/>
      <c r="Y16" s="26"/>
      <c r="Z16" s="26"/>
      <c r="AA16" s="26"/>
      <c r="AB16" s="44"/>
      <c r="AC16" s="470"/>
    </row>
    <row r="17" spans="1:29" ht="18">
      <c r="A17" s="21" t="s">
        <v>210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21"/>
      <c r="P17" s="688"/>
      <c r="Q17" s="323"/>
      <c r="R17" s="24"/>
      <c r="S17" s="24"/>
      <c r="T17" s="24"/>
      <c r="U17" s="24"/>
      <c r="V17" s="26">
        <v>5000000</v>
      </c>
      <c r="W17" s="26">
        <v>5000000</v>
      </c>
      <c r="X17" s="26">
        <v>5000000</v>
      </c>
      <c r="Y17" s="26">
        <v>5000000</v>
      </c>
      <c r="Z17" s="26">
        <v>3000000</v>
      </c>
      <c r="AA17" s="26"/>
      <c r="AB17" s="688">
        <f>Z17/Y17</f>
        <v>0.6</v>
      </c>
      <c r="AC17" s="470"/>
    </row>
    <row r="18" spans="1:29" ht="33" customHeight="1">
      <c r="A18" s="21" t="s">
        <v>463</v>
      </c>
      <c r="B18" s="23"/>
      <c r="C18" s="23"/>
      <c r="D18" s="23"/>
      <c r="E18" s="23"/>
      <c r="F18" s="23"/>
      <c r="G18" s="23"/>
      <c r="H18" s="23"/>
      <c r="I18" s="23">
        <v>4624495</v>
      </c>
      <c r="J18" s="23">
        <v>4624495</v>
      </c>
      <c r="K18" s="23">
        <v>4624495</v>
      </c>
      <c r="L18" s="23">
        <f>SUM(L19:L47)</f>
        <v>7672000</v>
      </c>
      <c r="M18" s="23"/>
      <c r="N18" s="23">
        <f>SUM(N19:N43)</f>
        <v>0</v>
      </c>
      <c r="O18" s="23"/>
      <c r="P18" s="688"/>
      <c r="Q18" s="324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688" t="e">
        <f>Z18/Y18</f>
        <v>#DIV/0!</v>
      </c>
      <c r="AC18" s="737"/>
    </row>
    <row r="19" spans="1:29" ht="17.25" customHeight="1">
      <c r="A19" s="543" t="s">
        <v>338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21"/>
      <c r="P19" s="321"/>
      <c r="Q19" s="324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44"/>
      <c r="AC19" s="470"/>
    </row>
    <row r="20" spans="1:29" ht="17.25" customHeight="1">
      <c r="A20" s="543" t="s">
        <v>491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21"/>
      <c r="P20" s="688"/>
      <c r="Q20" s="324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44"/>
      <c r="AC20" s="737"/>
    </row>
    <row r="21" spans="1:29" ht="17.25" customHeight="1">
      <c r="A21" s="543" t="s">
        <v>617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>
        <v>4896000</v>
      </c>
      <c r="M21" s="23">
        <v>4896000</v>
      </c>
      <c r="N21" s="23"/>
      <c r="O21" s="321"/>
      <c r="P21" s="688"/>
      <c r="Q21" s="324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4"/>
      <c r="AC21" s="737"/>
    </row>
    <row r="22" spans="1:29" ht="17.25" customHeight="1">
      <c r="A22" s="543" t="s">
        <v>618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>
        <v>80000</v>
      </c>
      <c r="M22" s="23">
        <v>80000</v>
      </c>
      <c r="N22" s="23"/>
      <c r="O22" s="321"/>
      <c r="P22" s="688"/>
      <c r="Q22" s="324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44"/>
      <c r="AC22" s="470"/>
    </row>
    <row r="23" spans="1:29" ht="17.25" customHeight="1">
      <c r="A23" s="543" t="s">
        <v>339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21"/>
      <c r="P23" s="688"/>
      <c r="Q23" s="324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44"/>
      <c r="AC23" s="470"/>
    </row>
    <row r="24" spans="1:29" ht="17.25" customHeight="1">
      <c r="A24" s="543" t="s">
        <v>619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>
        <v>232000</v>
      </c>
      <c r="M24" s="23">
        <v>232000</v>
      </c>
      <c r="N24" s="23"/>
      <c r="O24" s="321"/>
      <c r="P24" s="688"/>
      <c r="Q24" s="324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44"/>
      <c r="AC24" s="470"/>
    </row>
    <row r="25" spans="1:29" ht="17.25" customHeight="1">
      <c r="A25" s="543" t="s">
        <v>487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>
        <v>140000</v>
      </c>
      <c r="M25" s="23">
        <v>140000</v>
      </c>
      <c r="N25" s="23"/>
      <c r="O25" s="321"/>
      <c r="P25" s="688"/>
      <c r="Q25" s="324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44"/>
      <c r="AC25" s="470"/>
    </row>
    <row r="26" spans="1:29" ht="17.25" customHeight="1">
      <c r="A26" s="543" t="s">
        <v>343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>
        <v>70000</v>
      </c>
      <c r="M26" s="23">
        <v>70000</v>
      </c>
      <c r="N26" s="23"/>
      <c r="O26" s="321"/>
      <c r="P26" s="688"/>
      <c r="Q26" s="324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4"/>
      <c r="AC26" s="470"/>
    </row>
    <row r="27" spans="1:29" ht="30" customHeight="1">
      <c r="A27" s="543" t="s">
        <v>614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>
        <v>200000</v>
      </c>
      <c r="M27" s="23">
        <v>200000</v>
      </c>
      <c r="N27" s="23"/>
      <c r="O27" s="321"/>
      <c r="P27" s="688"/>
      <c r="Q27" s="324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44"/>
      <c r="AC27" s="470"/>
    </row>
    <row r="28" spans="1:29" ht="30" customHeight="1">
      <c r="A28" s="543" t="s">
        <v>547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>
        <f>72000+30000</f>
        <v>102000</v>
      </c>
      <c r="M28" s="23">
        <v>72000</v>
      </c>
      <c r="N28" s="23"/>
      <c r="O28" s="321"/>
      <c r="P28" s="688"/>
      <c r="Q28" s="324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44"/>
      <c r="AC28" s="470"/>
    </row>
    <row r="29" spans="1:29" ht="17.25" customHeight="1">
      <c r="A29" s="543" t="s">
        <v>340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>
        <v>40000</v>
      </c>
      <c r="M29" s="23">
        <v>40000</v>
      </c>
      <c r="N29" s="23"/>
      <c r="O29" s="321"/>
      <c r="P29" s="688"/>
      <c r="Q29" s="324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44"/>
      <c r="AC29" s="470"/>
    </row>
    <row r="30" spans="1:29" ht="17.25" customHeight="1">
      <c r="A30" s="543" t="s">
        <v>412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21"/>
      <c r="P30" s="688"/>
      <c r="Q30" s="324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44"/>
      <c r="AC30" s="470"/>
    </row>
    <row r="31" spans="1:29" ht="17.25" customHeight="1">
      <c r="A31" s="543" t="s">
        <v>615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>
        <v>191000</v>
      </c>
      <c r="M31" s="23">
        <v>191000</v>
      </c>
      <c r="N31" s="23"/>
      <c r="O31" s="321"/>
      <c r="P31" s="688"/>
      <c r="Q31" s="324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4"/>
      <c r="AC31" s="470"/>
    </row>
    <row r="32" spans="1:29" ht="17.25" customHeight="1">
      <c r="A32" s="543" t="s">
        <v>498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21"/>
      <c r="P32" s="688"/>
      <c r="Q32" s="324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44"/>
      <c r="AC32" s="470"/>
    </row>
    <row r="33" spans="1:29" ht="17.25" customHeight="1">
      <c r="A33" s="543" t="s">
        <v>341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321"/>
      <c r="P33" s="688"/>
      <c r="Q33" s="324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44"/>
      <c r="AC33" s="470"/>
    </row>
    <row r="34" spans="1:29" ht="17.25" customHeight="1">
      <c r="A34" s="543" t="s">
        <v>489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321"/>
      <c r="P34" s="688"/>
      <c r="Q34" s="324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44"/>
      <c r="AC34" s="470"/>
    </row>
    <row r="35" spans="1:29" ht="17.25" customHeight="1">
      <c r="A35" s="543" t="s">
        <v>462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321"/>
      <c r="P35" s="688"/>
      <c r="Q35" s="324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44"/>
      <c r="AC35" s="470"/>
    </row>
    <row r="36" spans="1:29" ht="17.25" customHeight="1">
      <c r="A36" s="543" t="s">
        <v>490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>
        <v>112000</v>
      </c>
      <c r="M36" s="23">
        <v>112000</v>
      </c>
      <c r="N36" s="23"/>
      <c r="O36" s="321"/>
      <c r="P36" s="688"/>
      <c r="Q36" s="324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44"/>
      <c r="AC36" s="470"/>
    </row>
    <row r="37" spans="1:29" ht="17.25" customHeight="1">
      <c r="A37" s="543" t="s">
        <v>492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321"/>
      <c r="P37" s="688"/>
      <c r="Q37" s="324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44"/>
      <c r="AC37" s="470"/>
    </row>
    <row r="38" spans="1:29" ht="17.25" customHeight="1">
      <c r="A38" s="543" t="s">
        <v>462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>
        <v>55000</v>
      </c>
      <c r="M38" s="23">
        <v>55000</v>
      </c>
      <c r="N38" s="23"/>
      <c r="O38" s="321"/>
      <c r="P38" s="688"/>
      <c r="Q38" s="324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44"/>
      <c r="AC38" s="470"/>
    </row>
    <row r="39" spans="1:29" ht="17.25" customHeight="1">
      <c r="A39" s="543" t="s">
        <v>621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>
        <v>350000</v>
      </c>
      <c r="M39" s="23">
        <v>350000</v>
      </c>
      <c r="N39" s="23"/>
      <c r="O39" s="321"/>
      <c r="P39" s="688"/>
      <c r="Q39" s="324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44"/>
      <c r="AC39" s="470"/>
    </row>
    <row r="40" spans="1:29" ht="30" customHeight="1">
      <c r="A40" s="1091" t="s">
        <v>595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>
        <v>38000</v>
      </c>
      <c r="M40" s="23">
        <v>38000</v>
      </c>
      <c r="N40" s="23"/>
      <c r="O40" s="321"/>
      <c r="P40" s="688"/>
      <c r="Q40" s="324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44"/>
      <c r="AC40" s="470"/>
    </row>
    <row r="41" spans="1:29" ht="17.25" customHeight="1">
      <c r="A41" s="543" t="s">
        <v>582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>
        <f>670000+90000-250000</f>
        <v>510000</v>
      </c>
      <c r="M41" s="1116">
        <f>670000+90000-250000</f>
        <v>510000</v>
      </c>
      <c r="N41" s="23"/>
      <c r="O41" s="321"/>
      <c r="P41" s="688"/>
      <c r="Q41" s="324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44"/>
      <c r="AC41" s="470"/>
    </row>
    <row r="42" spans="1:29" ht="17.25" customHeight="1">
      <c r="A42" s="543" t="s">
        <v>421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>
        <v>30000</v>
      </c>
      <c r="M42" s="23">
        <v>30000</v>
      </c>
      <c r="N42" s="23"/>
      <c r="O42" s="321"/>
      <c r="P42" s="688"/>
      <c r="Q42" s="324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44"/>
      <c r="AC42" s="470"/>
    </row>
    <row r="43" spans="1:29" ht="17.25" customHeight="1">
      <c r="A43" s="543" t="s">
        <v>413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688"/>
      <c r="Q43" s="324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44"/>
      <c r="AC43" s="470"/>
    </row>
    <row r="44" spans="1:29" ht="17.25" customHeight="1">
      <c r="A44" s="21" t="s">
        <v>464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>
        <f>SUM(N45:N47)</f>
        <v>0</v>
      </c>
      <c r="O44" s="23"/>
      <c r="P44" s="688"/>
      <c r="Q44" s="324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44"/>
      <c r="AC44" s="470"/>
    </row>
    <row r="45" spans="1:29" ht="17.25" customHeight="1">
      <c r="A45" s="543" t="s">
        <v>338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>
        <v>20000</v>
      </c>
      <c r="M45" s="23">
        <v>20000</v>
      </c>
      <c r="N45" s="23"/>
      <c r="O45" s="23"/>
      <c r="P45" s="688"/>
      <c r="Q45" s="324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44"/>
      <c r="AC45" s="737"/>
    </row>
    <row r="46" spans="1:29" ht="17.25" customHeight="1">
      <c r="A46" s="543" t="s">
        <v>461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>
        <v>356000</v>
      </c>
      <c r="M46" s="23">
        <v>356000</v>
      </c>
      <c r="N46" s="23"/>
      <c r="O46" s="23"/>
      <c r="P46" s="688"/>
      <c r="Q46" s="324"/>
      <c r="R46" s="26"/>
      <c r="S46" s="26"/>
      <c r="T46" s="26"/>
      <c r="U46" s="26"/>
      <c r="V46" s="26"/>
      <c r="W46" s="26"/>
      <c r="X46" s="26"/>
      <c r="Y46" s="26">
        <v>70000</v>
      </c>
      <c r="Z46" s="26"/>
      <c r="AA46" s="26"/>
      <c r="AB46" s="44"/>
      <c r="AC46" s="470"/>
    </row>
    <row r="47" spans="1:29" ht="17.25" customHeight="1">
      <c r="A47" s="543" t="s">
        <v>342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>
        <v>250000</v>
      </c>
      <c r="M47" s="23">
        <v>250000</v>
      </c>
      <c r="N47" s="23"/>
      <c r="O47" s="23"/>
      <c r="P47" s="688"/>
      <c r="Q47" s="324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44"/>
      <c r="AC47" s="470"/>
    </row>
    <row r="48" spans="1:29" ht="17.25" customHeight="1">
      <c r="A48" s="54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321"/>
      <c r="P48" s="688"/>
      <c r="Q48" s="324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44"/>
      <c r="AC48" s="470"/>
    </row>
    <row r="49" spans="1:29" ht="17.25" customHeight="1">
      <c r="A49" s="979" t="s">
        <v>622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>
        <v>12000</v>
      </c>
      <c r="M49" s="23">
        <v>12000</v>
      </c>
      <c r="N49" s="23"/>
      <c r="O49" s="321"/>
      <c r="P49" s="688"/>
      <c r="Q49" s="324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44"/>
      <c r="AC49" s="470"/>
    </row>
    <row r="50" spans="1:29" ht="17.25" customHeight="1">
      <c r="A50" s="979" t="s">
        <v>546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321"/>
      <c r="P50" s="688"/>
      <c r="Q50" s="324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44"/>
      <c r="AC50" s="470"/>
    </row>
    <row r="51" spans="1:29" ht="17.25" customHeight="1">
      <c r="A51" s="21" t="s">
        <v>549</v>
      </c>
      <c r="B51" s="23"/>
      <c r="C51" s="23"/>
      <c r="D51" s="23"/>
      <c r="E51" s="23"/>
      <c r="F51" s="23"/>
      <c r="G51" s="23"/>
      <c r="H51" s="23"/>
      <c r="I51" s="23">
        <v>200000</v>
      </c>
      <c r="J51" s="23">
        <v>200000</v>
      </c>
      <c r="K51" s="23">
        <v>200000</v>
      </c>
      <c r="L51" s="23">
        <v>200000</v>
      </c>
      <c r="M51" s="23">
        <v>200000</v>
      </c>
      <c r="N51" s="23"/>
      <c r="O51" s="321"/>
      <c r="P51" s="688"/>
      <c r="Q51" s="324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44"/>
      <c r="AC51" s="470"/>
    </row>
    <row r="52" spans="1:29" ht="17.25" customHeight="1">
      <c r="A52" s="21" t="s">
        <v>582</v>
      </c>
      <c r="B52" s="23"/>
      <c r="C52" s="23"/>
      <c r="D52" s="23"/>
      <c r="E52" s="23"/>
      <c r="F52" s="23"/>
      <c r="G52" s="23"/>
      <c r="H52" s="23"/>
      <c r="I52" s="23">
        <v>250000</v>
      </c>
      <c r="J52" s="23">
        <v>250000</v>
      </c>
      <c r="K52" s="23">
        <v>250000</v>
      </c>
      <c r="L52" s="23">
        <v>250000</v>
      </c>
      <c r="M52" s="23">
        <v>250000</v>
      </c>
      <c r="N52" s="23"/>
      <c r="O52" s="321"/>
      <c r="P52" s="688"/>
      <c r="Q52" s="324"/>
      <c r="R52" s="26"/>
      <c r="S52" s="26"/>
      <c r="T52" s="26"/>
      <c r="U52" s="26"/>
      <c r="V52" s="26"/>
      <c r="W52" s="26"/>
      <c r="X52" s="26"/>
      <c r="Y52" s="26"/>
      <c r="Z52" s="23">
        <v>600000</v>
      </c>
      <c r="AA52" s="23"/>
      <c r="AB52" s="44"/>
      <c r="AC52" s="470"/>
    </row>
    <row r="53" spans="1:29" ht="17.25" customHeight="1">
      <c r="A53" s="21" t="s">
        <v>479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321"/>
      <c r="P53" s="688"/>
      <c r="Q53" s="324"/>
      <c r="R53" s="26"/>
      <c r="S53" s="26"/>
      <c r="T53" s="26"/>
      <c r="U53" s="26"/>
      <c r="V53" s="26"/>
      <c r="W53" s="26"/>
      <c r="X53" s="26"/>
      <c r="Y53" s="26"/>
      <c r="Z53" s="23">
        <v>600000</v>
      </c>
      <c r="AA53" s="23"/>
      <c r="AB53" s="44"/>
      <c r="AC53" s="470"/>
    </row>
    <row r="54" spans="1:29" ht="17.25" customHeight="1">
      <c r="A54" s="21" t="s">
        <v>480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321"/>
      <c r="P54" s="688"/>
      <c r="Q54" s="324"/>
      <c r="R54" s="26"/>
      <c r="S54" s="26"/>
      <c r="T54" s="26"/>
      <c r="U54" s="26"/>
      <c r="V54" s="26"/>
      <c r="W54" s="26"/>
      <c r="X54" s="26"/>
      <c r="Y54" s="26"/>
      <c r="Z54" s="23">
        <v>600000</v>
      </c>
      <c r="AA54" s="23"/>
      <c r="AB54" s="44"/>
      <c r="AC54" s="470"/>
    </row>
    <row r="55" spans="1:29" ht="17.25" customHeight="1">
      <c r="A55" s="979" t="s">
        <v>616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>
        <v>100000</v>
      </c>
      <c r="M55" s="23">
        <v>100000</v>
      </c>
      <c r="N55" s="23"/>
      <c r="O55" s="321"/>
      <c r="P55" s="321"/>
      <c r="Q55" s="324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44"/>
      <c r="AC55" s="470"/>
    </row>
    <row r="56" spans="1:29" ht="17.25" customHeight="1">
      <c r="A56" s="979" t="s">
        <v>620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>
        <v>280000</v>
      </c>
      <c r="M56" s="23">
        <v>280000</v>
      </c>
      <c r="N56" s="23"/>
      <c r="O56" s="321"/>
      <c r="P56" s="321"/>
      <c r="Q56" s="324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44"/>
      <c r="AC56" s="470"/>
    </row>
    <row r="57" spans="1:29" ht="39.75" customHeight="1">
      <c r="A57" s="21" t="s">
        <v>493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>
        <v>64525</v>
      </c>
      <c r="M57" s="23">
        <v>64525</v>
      </c>
      <c r="N57" s="23"/>
      <c r="O57" s="321"/>
      <c r="P57" s="688"/>
      <c r="Q57" s="324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44"/>
      <c r="AC57" s="470"/>
    </row>
    <row r="58" spans="1:29" ht="36.75" customHeight="1">
      <c r="A58" s="21" t="s">
        <v>487</v>
      </c>
      <c r="B58" s="23"/>
      <c r="C58" s="23"/>
      <c r="D58" s="23"/>
      <c r="E58" s="23"/>
      <c r="F58" s="23"/>
      <c r="G58" s="23"/>
      <c r="H58" s="23"/>
      <c r="I58" s="23">
        <v>100000</v>
      </c>
      <c r="J58" s="23">
        <v>100000</v>
      </c>
      <c r="K58" s="23">
        <v>100000</v>
      </c>
      <c r="L58" s="23">
        <v>100000</v>
      </c>
      <c r="M58" s="23">
        <v>100000</v>
      </c>
      <c r="N58" s="23"/>
      <c r="O58" s="321"/>
      <c r="P58" s="688"/>
      <c r="Q58" s="324"/>
      <c r="R58" s="26"/>
      <c r="S58" s="26"/>
      <c r="T58" s="26"/>
      <c r="U58" s="26"/>
      <c r="V58" s="26"/>
      <c r="W58" s="26"/>
      <c r="X58" s="26"/>
      <c r="Y58" s="26"/>
      <c r="Z58" s="26">
        <v>70000</v>
      </c>
      <c r="AA58" s="26"/>
      <c r="AB58" s="44"/>
      <c r="AC58" s="470"/>
    </row>
    <row r="59" spans="1:29" s="14" customFormat="1" ht="30.75">
      <c r="A59" s="21" t="s">
        <v>510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321"/>
      <c r="P59" s="688"/>
      <c r="Q59" s="325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44"/>
      <c r="AC59" s="471"/>
    </row>
    <row r="60" spans="1:29" ht="26.25">
      <c r="A60" s="1091" t="s">
        <v>595</v>
      </c>
      <c r="B60" s="26"/>
      <c r="C60" s="26"/>
      <c r="D60" s="26"/>
      <c r="E60" s="26"/>
      <c r="F60" s="26"/>
      <c r="G60" s="26"/>
      <c r="H60" s="26"/>
      <c r="I60" s="26">
        <v>300000</v>
      </c>
      <c r="J60" s="26">
        <v>300000</v>
      </c>
      <c r="K60" s="26">
        <v>300000</v>
      </c>
      <c r="L60" s="26">
        <v>300000</v>
      </c>
      <c r="M60" s="26">
        <v>300000</v>
      </c>
      <c r="N60" s="26"/>
      <c r="O60" s="322"/>
      <c r="P60" s="688"/>
      <c r="Q60" s="325"/>
      <c r="R60" s="23"/>
      <c r="S60" s="23"/>
      <c r="T60" s="23"/>
      <c r="U60" s="23"/>
      <c r="V60" s="26"/>
      <c r="W60" s="26"/>
      <c r="X60" s="26"/>
      <c r="Y60" s="26"/>
      <c r="Z60" s="26"/>
      <c r="AA60" s="26"/>
      <c r="AB60" s="25"/>
      <c r="AC60" s="470"/>
    </row>
    <row r="61" spans="1:29" ht="18">
      <c r="A61" s="200" t="s">
        <v>594</v>
      </c>
      <c r="B61" s="26"/>
      <c r="C61" s="26"/>
      <c r="D61" s="26"/>
      <c r="E61" s="26"/>
      <c r="F61" s="26"/>
      <c r="G61" s="26"/>
      <c r="H61" s="26"/>
      <c r="I61" s="26">
        <v>100000</v>
      </c>
      <c r="J61" s="26">
        <v>100000</v>
      </c>
      <c r="K61" s="26">
        <v>100000</v>
      </c>
      <c r="L61" s="26">
        <v>100000</v>
      </c>
      <c r="M61" s="26">
        <v>100000</v>
      </c>
      <c r="N61" s="26"/>
      <c r="O61" s="322"/>
      <c r="P61" s="688"/>
      <c r="Q61" s="325"/>
      <c r="R61" s="23"/>
      <c r="S61" s="23"/>
      <c r="T61" s="23"/>
      <c r="U61" s="23"/>
      <c r="V61" s="26"/>
      <c r="W61" s="26"/>
      <c r="X61" s="26"/>
      <c r="Y61" s="26"/>
      <c r="Z61" s="26"/>
      <c r="AA61" s="26"/>
      <c r="AB61" s="25"/>
      <c r="AC61" s="470"/>
    </row>
    <row r="62" spans="1:29" ht="18">
      <c r="A62" s="21" t="s">
        <v>623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>
        <v>30000</v>
      </c>
      <c r="M62" s="23"/>
      <c r="N62" s="23"/>
      <c r="O62" s="321"/>
      <c r="P62" s="688"/>
      <c r="Q62" s="325"/>
      <c r="R62" s="23"/>
      <c r="S62" s="23"/>
      <c r="T62" s="23"/>
      <c r="U62" s="23"/>
      <c r="V62" s="23">
        <v>1000000</v>
      </c>
      <c r="W62" s="23">
        <v>1000000</v>
      </c>
      <c r="X62" s="23">
        <v>1000000</v>
      </c>
      <c r="Y62" s="23">
        <v>1000000</v>
      </c>
      <c r="Z62" s="26"/>
      <c r="AA62" s="26"/>
      <c r="AB62" s="25"/>
      <c r="AC62" s="470"/>
    </row>
    <row r="63" spans="1:29" ht="23.25" customHeight="1" thickBot="1">
      <c r="A63" s="1007" t="s">
        <v>1</v>
      </c>
      <c r="B63" s="1008">
        <f aca="true" t="shared" si="0" ref="B63:I63">SUM(B11:B62)</f>
        <v>0</v>
      </c>
      <c r="C63" s="1008">
        <f t="shared" si="0"/>
        <v>0</v>
      </c>
      <c r="D63" s="1008">
        <f t="shared" si="0"/>
        <v>0</v>
      </c>
      <c r="E63" s="1008">
        <f t="shared" si="0"/>
        <v>0</v>
      </c>
      <c r="F63" s="1008">
        <f t="shared" si="0"/>
        <v>0</v>
      </c>
      <c r="G63" s="1008">
        <f t="shared" si="0"/>
        <v>0</v>
      </c>
      <c r="H63" s="1008">
        <f t="shared" si="0"/>
        <v>0</v>
      </c>
      <c r="I63" s="1008">
        <f t="shared" si="0"/>
        <v>5574495</v>
      </c>
      <c r="J63" s="1008">
        <f>SUM(J11:J62)</f>
        <v>13184495</v>
      </c>
      <c r="K63" s="1008">
        <f>SUM(K11:K62)</f>
        <v>13184495</v>
      </c>
      <c r="L63" s="1008">
        <f>SUM(L49:L62,L12:L18)</f>
        <v>12608525</v>
      </c>
      <c r="M63" s="1008">
        <f>SUM(M11:M62)</f>
        <v>12548525</v>
      </c>
      <c r="N63" s="1008">
        <f>SUM(N11:N18,N44,N50:N62)</f>
        <v>0</v>
      </c>
      <c r="O63" s="1008">
        <f>SUM(O11:O18,O44,O50:O56)</f>
        <v>0</v>
      </c>
      <c r="P63" s="1009">
        <f>M63/L63</f>
        <v>0.9952413149040035</v>
      </c>
      <c r="Q63" s="1010">
        <f aca="true" t="shared" si="1" ref="Q63:AB63">SUM(Q11:Q62)</f>
        <v>0</v>
      </c>
      <c r="R63" s="1008">
        <f t="shared" si="1"/>
        <v>0</v>
      </c>
      <c r="S63" s="1008">
        <f t="shared" si="1"/>
        <v>0</v>
      </c>
      <c r="T63" s="1008">
        <f t="shared" si="1"/>
        <v>0</v>
      </c>
      <c r="U63" s="1008">
        <f t="shared" si="1"/>
        <v>0</v>
      </c>
      <c r="V63" s="1008">
        <f t="shared" si="1"/>
        <v>6000000</v>
      </c>
      <c r="W63" s="27">
        <f t="shared" si="1"/>
        <v>6000000</v>
      </c>
      <c r="X63" s="27">
        <f>SUM(X11:X62)</f>
        <v>6000000</v>
      </c>
      <c r="Y63" s="27">
        <f t="shared" si="1"/>
        <v>6070000</v>
      </c>
      <c r="Z63" s="27">
        <f>SUM(Z11:Z62)</f>
        <v>4870000</v>
      </c>
      <c r="AA63" s="27">
        <f>SUM(AA11:AA62)</f>
        <v>0</v>
      </c>
      <c r="AB63" s="27" t="e">
        <f t="shared" si="1"/>
        <v>#DIV/0!</v>
      </c>
      <c r="AC63" s="689"/>
    </row>
    <row r="64" spans="1:28" ht="15">
      <c r="A64" s="1011"/>
      <c r="B64" s="1012"/>
      <c r="C64" s="1012"/>
      <c r="D64" s="1012"/>
      <c r="E64" s="1012"/>
      <c r="F64" s="1012"/>
      <c r="G64" s="1012"/>
      <c r="H64" s="1012"/>
      <c r="I64" s="839"/>
      <c r="J64" s="839"/>
      <c r="K64" s="839"/>
      <c r="L64" s="839"/>
      <c r="M64" s="839">
        <f>+L64-M63</f>
        <v>-12548525</v>
      </c>
      <c r="O64" s="839"/>
      <c r="P64" s="839"/>
      <c r="Q64" s="839"/>
      <c r="R64" s="1012"/>
      <c r="S64" s="1012"/>
      <c r="T64" s="1012"/>
      <c r="U64" s="1012"/>
      <c r="V64" s="839"/>
      <c r="X64" s="319"/>
      <c r="Z64" s="319"/>
      <c r="AA64" s="319"/>
      <c r="AB64" s="319"/>
    </row>
    <row r="65" spans="1:24" ht="14.25">
      <c r="A65" s="1469" t="s">
        <v>213</v>
      </c>
      <c r="B65" s="1469"/>
      <c r="C65" s="1469"/>
      <c r="D65" s="1469"/>
      <c r="E65" s="1469"/>
      <c r="F65" s="1469"/>
      <c r="G65" s="1469"/>
      <c r="H65" s="1469"/>
      <c r="I65" s="1469"/>
      <c r="J65" s="1469"/>
      <c r="K65" s="1469"/>
      <c r="L65" s="1469"/>
      <c r="M65" s="1469"/>
      <c r="N65" s="1469"/>
      <c r="O65" s="1469"/>
      <c r="P65" s="1469"/>
      <c r="Q65" s="1469"/>
      <c r="R65" s="1469"/>
      <c r="S65" s="1469"/>
      <c r="T65" s="1469"/>
      <c r="U65" s="1469"/>
      <c r="V65" s="1469"/>
      <c r="X65" s="319"/>
    </row>
    <row r="66" ht="13.5" thickBot="1">
      <c r="V66" s="10"/>
    </row>
    <row r="67" spans="1:29" ht="29.25" customHeight="1">
      <c r="A67" s="1457" t="s">
        <v>212</v>
      </c>
      <c r="B67" s="1459" t="s">
        <v>22</v>
      </c>
      <c r="C67" s="1460"/>
      <c r="D67" s="1460"/>
      <c r="E67" s="1460"/>
      <c r="F67" s="1460"/>
      <c r="G67" s="1460"/>
      <c r="H67" s="1460"/>
      <c r="I67" s="1460"/>
      <c r="J67" s="1460"/>
      <c r="K67" s="1460"/>
      <c r="L67" s="1460"/>
      <c r="M67" s="1460"/>
      <c r="N67" s="1460"/>
      <c r="O67" s="1460"/>
      <c r="P67" s="1460"/>
      <c r="Q67" s="1461" t="s">
        <v>23</v>
      </c>
      <c r="R67" s="1462"/>
      <c r="S67" s="1462"/>
      <c r="T67" s="1462"/>
      <c r="U67" s="1462"/>
      <c r="V67" s="1462"/>
      <c r="W67" s="1462"/>
      <c r="X67" s="1462"/>
      <c r="Y67" s="1462"/>
      <c r="Z67" s="1462"/>
      <c r="AA67" s="1459"/>
      <c r="AB67" s="1463"/>
      <c r="AC67" s="470"/>
    </row>
    <row r="68" spans="1:29" ht="29.25" customHeight="1">
      <c r="A68" s="1458"/>
      <c r="B68" s="1464" t="s">
        <v>60</v>
      </c>
      <c r="C68" s="1465"/>
      <c r="D68" s="1465"/>
      <c r="E68" s="1465"/>
      <c r="F68" s="1465"/>
      <c r="G68" s="1465"/>
      <c r="H68" s="1466"/>
      <c r="I68" s="1464" t="s">
        <v>61</v>
      </c>
      <c r="J68" s="1465"/>
      <c r="K68" s="1465"/>
      <c r="L68" s="1465"/>
      <c r="M68" s="1465"/>
      <c r="N68" s="1465"/>
      <c r="O68" s="1465"/>
      <c r="P68" s="1465"/>
      <c r="Q68" s="1467" t="s">
        <v>60</v>
      </c>
      <c r="R68" s="1468"/>
      <c r="S68" s="1468"/>
      <c r="T68" s="1468"/>
      <c r="U68" s="1468"/>
      <c r="V68" s="1468" t="s">
        <v>61</v>
      </c>
      <c r="W68" s="1468"/>
      <c r="X68" s="1468"/>
      <c r="Y68" s="1468"/>
      <c r="Z68" s="1468"/>
      <c r="AA68" s="1464"/>
      <c r="AB68" s="1470"/>
      <c r="AC68" s="470"/>
    </row>
    <row r="69" spans="1:29" ht="29.25" customHeight="1">
      <c r="A69" s="249"/>
      <c r="B69" s="250" t="s">
        <v>216</v>
      </c>
      <c r="C69" s="250" t="s">
        <v>214</v>
      </c>
      <c r="D69" s="472" t="s">
        <v>219</v>
      </c>
      <c r="E69" s="250" t="s">
        <v>221</v>
      </c>
      <c r="F69" s="250" t="s">
        <v>415</v>
      </c>
      <c r="G69" s="250" t="s">
        <v>419</v>
      </c>
      <c r="H69" s="250" t="s">
        <v>224</v>
      </c>
      <c r="I69" s="1120" t="s">
        <v>216</v>
      </c>
      <c r="J69" s="1120" t="s">
        <v>214</v>
      </c>
      <c r="K69" s="1292" t="s">
        <v>219</v>
      </c>
      <c r="L69" s="731" t="s">
        <v>221</v>
      </c>
      <c r="M69" s="250" t="s">
        <v>415</v>
      </c>
      <c r="N69" s="759" t="s">
        <v>419</v>
      </c>
      <c r="O69" s="759"/>
      <c r="P69" s="736" t="s">
        <v>224</v>
      </c>
      <c r="Q69" s="732" t="s">
        <v>216</v>
      </c>
      <c r="R69" s="250" t="s">
        <v>214</v>
      </c>
      <c r="S69" s="472" t="s">
        <v>219</v>
      </c>
      <c r="T69" s="250" t="s">
        <v>221</v>
      </c>
      <c r="U69" s="250" t="s">
        <v>378</v>
      </c>
      <c r="V69" s="250" t="s">
        <v>216</v>
      </c>
      <c r="W69" s="250" t="s">
        <v>214</v>
      </c>
      <c r="X69" s="472" t="s">
        <v>219</v>
      </c>
      <c r="Y69" s="250" t="s">
        <v>221</v>
      </c>
      <c r="Z69" s="250" t="s">
        <v>415</v>
      </c>
      <c r="AA69" s="759" t="s">
        <v>419</v>
      </c>
      <c r="AB69" s="250" t="s">
        <v>224</v>
      </c>
      <c r="AC69" s="470"/>
    </row>
    <row r="70" spans="1:29" ht="18" hidden="1">
      <c r="A70" s="20" t="s">
        <v>548</v>
      </c>
      <c r="B70" s="26"/>
      <c r="C70" s="26"/>
      <c r="D70" s="26"/>
      <c r="E70" s="26"/>
      <c r="F70" s="26">
        <v>348530</v>
      </c>
      <c r="G70" s="26">
        <v>348660</v>
      </c>
      <c r="H70" s="688"/>
      <c r="I70" s="26"/>
      <c r="J70" s="26"/>
      <c r="K70" s="26"/>
      <c r="L70" s="26"/>
      <c r="M70" s="322"/>
      <c r="N70" s="322"/>
      <c r="O70" s="322"/>
      <c r="P70" s="322"/>
      <c r="Q70" s="325"/>
      <c r="R70" s="23"/>
      <c r="S70" s="23"/>
      <c r="T70" s="23"/>
      <c r="U70" s="23"/>
      <c r="V70" s="26"/>
      <c r="W70" s="26"/>
      <c r="X70" s="26"/>
      <c r="Y70" s="26"/>
      <c r="Z70" s="23"/>
      <c r="AA70" s="321"/>
      <c r="AB70" s="44"/>
      <c r="AC70" s="470"/>
    </row>
    <row r="71" spans="1:29" ht="18" hidden="1">
      <c r="A71" s="20" t="s">
        <v>420</v>
      </c>
      <c r="B71" s="45"/>
      <c r="C71" s="45"/>
      <c r="D71" s="45"/>
      <c r="E71" s="45"/>
      <c r="F71" s="45"/>
      <c r="G71" s="45"/>
      <c r="H71" s="688"/>
      <c r="I71" s="45"/>
      <c r="J71" s="45"/>
      <c r="K71" s="45"/>
      <c r="L71" s="45"/>
      <c r="M71" s="326"/>
      <c r="N71" s="840"/>
      <c r="O71" s="837"/>
      <c r="P71" s="326"/>
      <c r="Q71" s="325"/>
      <c r="R71" s="23"/>
      <c r="S71" s="23"/>
      <c r="T71" s="23"/>
      <c r="U71" s="23"/>
      <c r="V71" s="26"/>
      <c r="W71" s="26"/>
      <c r="X71" s="26"/>
      <c r="Y71" s="26"/>
      <c r="Z71" s="23"/>
      <c r="AA71" s="321"/>
      <c r="AB71" s="44"/>
      <c r="AC71" s="470"/>
    </row>
    <row r="72" spans="1:29" ht="18" hidden="1">
      <c r="A72" s="46" t="s">
        <v>460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841"/>
      <c r="O72" s="838"/>
      <c r="P72" s="688"/>
      <c r="Q72" s="325"/>
      <c r="R72" s="23"/>
      <c r="S72" s="23"/>
      <c r="T72" s="23"/>
      <c r="U72" s="23"/>
      <c r="V72" s="26"/>
      <c r="W72" s="26"/>
      <c r="X72" s="26"/>
      <c r="Y72" s="26"/>
      <c r="Z72" s="23"/>
      <c r="AA72" s="321"/>
      <c r="AB72" s="44"/>
      <c r="AC72" s="470"/>
    </row>
    <row r="73" spans="1:29" ht="18">
      <c r="A73" s="46" t="s">
        <v>459</v>
      </c>
      <c r="B73" s="45"/>
      <c r="C73" s="45"/>
      <c r="D73" s="45"/>
      <c r="E73" s="45"/>
      <c r="F73" s="45"/>
      <c r="G73" s="45"/>
      <c r="H73" s="45"/>
      <c r="I73" s="45">
        <v>1135728</v>
      </c>
      <c r="J73" s="45">
        <v>1135728</v>
      </c>
      <c r="K73" s="45">
        <v>1135728</v>
      </c>
      <c r="L73" s="45"/>
      <c r="M73" s="45"/>
      <c r="N73" s="841"/>
      <c r="O73" s="838"/>
      <c r="P73" s="688"/>
      <c r="Q73" s="325"/>
      <c r="R73" s="23"/>
      <c r="S73" s="23"/>
      <c r="T73" s="23"/>
      <c r="U73" s="23"/>
      <c r="V73" s="26"/>
      <c r="W73" s="26"/>
      <c r="X73" s="26"/>
      <c r="Y73" s="26"/>
      <c r="Z73" s="23"/>
      <c r="AA73" s="321"/>
      <c r="AB73" s="44"/>
      <c r="AC73" s="470"/>
    </row>
    <row r="74" spans="1:29" ht="30.75">
      <c r="A74" s="46" t="s">
        <v>581</v>
      </c>
      <c r="B74" s="45">
        <v>341770</v>
      </c>
      <c r="C74" s="45">
        <v>341770</v>
      </c>
      <c r="D74" s="45">
        <v>341770</v>
      </c>
      <c r="E74" s="45">
        <v>335530</v>
      </c>
      <c r="F74" s="45"/>
      <c r="G74" s="45"/>
      <c r="H74" s="45"/>
      <c r="I74" s="45"/>
      <c r="J74" s="45"/>
      <c r="K74" s="45"/>
      <c r="L74" s="45"/>
      <c r="M74" s="45"/>
      <c r="N74" s="841"/>
      <c r="O74" s="838"/>
      <c r="P74" s="688"/>
      <c r="Q74" s="325"/>
      <c r="R74" s="23"/>
      <c r="S74" s="23"/>
      <c r="T74" s="23"/>
      <c r="U74" s="23"/>
      <c r="V74" s="26"/>
      <c r="W74" s="26"/>
      <c r="X74" s="26"/>
      <c r="Y74" s="26"/>
      <c r="Z74" s="23"/>
      <c r="AA74" s="321"/>
      <c r="AB74" s="44"/>
      <c r="AC74" s="470"/>
    </row>
    <row r="75" spans="1:29" ht="18" hidden="1">
      <c r="A75" s="46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326"/>
      <c r="P75" s="688"/>
      <c r="Q75" s="325"/>
      <c r="R75" s="23"/>
      <c r="S75" s="23"/>
      <c r="T75" s="23"/>
      <c r="U75" s="23"/>
      <c r="V75" s="26"/>
      <c r="W75" s="26"/>
      <c r="X75" s="26"/>
      <c r="Y75" s="26"/>
      <c r="Z75" s="23"/>
      <c r="AA75" s="321"/>
      <c r="AB75" s="44"/>
      <c r="AC75" s="470"/>
    </row>
    <row r="76" spans="1:29" ht="18" hidden="1">
      <c r="A76" s="46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326"/>
      <c r="P76" s="688"/>
      <c r="Q76" s="325"/>
      <c r="R76" s="23"/>
      <c r="S76" s="23"/>
      <c r="T76" s="23"/>
      <c r="U76" s="23"/>
      <c r="V76" s="26"/>
      <c r="W76" s="26"/>
      <c r="X76" s="26"/>
      <c r="Y76" s="26"/>
      <c r="Z76" s="23"/>
      <c r="AA76" s="321"/>
      <c r="AB76" s="44"/>
      <c r="AC76" s="470"/>
    </row>
    <row r="77" spans="1:29" ht="18" hidden="1">
      <c r="A77" s="46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326"/>
      <c r="P77" s="688"/>
      <c r="Q77" s="325"/>
      <c r="R77" s="23"/>
      <c r="S77" s="23"/>
      <c r="T77" s="23"/>
      <c r="U77" s="23"/>
      <c r="V77" s="26"/>
      <c r="W77" s="26"/>
      <c r="X77" s="26"/>
      <c r="Y77" s="26"/>
      <c r="Z77" s="23"/>
      <c r="AA77" s="321"/>
      <c r="AB77" s="44"/>
      <c r="AC77" s="470"/>
    </row>
    <row r="78" spans="1:29" ht="18" hidden="1">
      <c r="A78" s="46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326"/>
      <c r="P78" s="688"/>
      <c r="Q78" s="325"/>
      <c r="R78" s="23"/>
      <c r="S78" s="23"/>
      <c r="T78" s="23"/>
      <c r="U78" s="23"/>
      <c r="V78" s="26"/>
      <c r="W78" s="26"/>
      <c r="X78" s="26"/>
      <c r="Y78" s="26"/>
      <c r="Z78" s="23"/>
      <c r="AA78" s="321"/>
      <c r="AB78" s="44"/>
      <c r="AC78" s="470"/>
    </row>
    <row r="79" spans="1:29" ht="18">
      <c r="A79" s="46" t="s">
        <v>509</v>
      </c>
      <c r="B79" s="45"/>
      <c r="C79" s="45"/>
      <c r="D79" s="45"/>
      <c r="E79" s="45"/>
      <c r="F79" s="45"/>
      <c r="G79" s="45"/>
      <c r="H79" s="45"/>
      <c r="I79" s="45">
        <v>239220</v>
      </c>
      <c r="J79" s="45">
        <v>239220</v>
      </c>
      <c r="K79" s="45">
        <v>239220</v>
      </c>
      <c r="L79" s="45">
        <v>232290</v>
      </c>
      <c r="M79" s="45"/>
      <c r="N79" s="45"/>
      <c r="O79" s="326"/>
      <c r="P79" s="688"/>
      <c r="Q79" s="325"/>
      <c r="R79" s="23"/>
      <c r="S79" s="23"/>
      <c r="T79" s="23"/>
      <c r="U79" s="23"/>
      <c r="V79" s="26"/>
      <c r="W79" s="26"/>
      <c r="X79" s="26"/>
      <c r="Y79" s="26"/>
      <c r="Z79" s="23"/>
      <c r="AA79" s="321"/>
      <c r="AB79" s="44"/>
      <c r="AC79" s="470"/>
    </row>
    <row r="80" spans="1:29" ht="39" customHeight="1">
      <c r="A80" s="46" t="s">
        <v>563</v>
      </c>
      <c r="B80" s="45">
        <v>143748439</v>
      </c>
      <c r="C80" s="45">
        <v>143748439</v>
      </c>
      <c r="D80" s="45">
        <f>143748439-2973520</f>
        <v>140774919</v>
      </c>
      <c r="E80" s="45">
        <v>142879252</v>
      </c>
      <c r="F80" s="45"/>
      <c r="G80" s="45"/>
      <c r="H80" s="688"/>
      <c r="I80" s="45"/>
      <c r="J80" s="45"/>
      <c r="K80" s="45"/>
      <c r="L80" s="45"/>
      <c r="M80" s="45"/>
      <c r="N80" s="45"/>
      <c r="O80" s="326"/>
      <c r="P80" s="326"/>
      <c r="Q80" s="325"/>
      <c r="R80" s="23"/>
      <c r="S80" s="23"/>
      <c r="T80" s="23"/>
      <c r="U80" s="23"/>
      <c r="V80" s="26"/>
      <c r="W80" s="26"/>
      <c r="X80" s="26"/>
      <c r="Y80" s="26"/>
      <c r="Z80" s="23"/>
      <c r="AA80" s="321"/>
      <c r="AB80" s="44"/>
      <c r="AC80" s="470"/>
    </row>
    <row r="81" spans="1:29" ht="39" customHeight="1" hidden="1">
      <c r="A81" s="46" t="s">
        <v>499</v>
      </c>
      <c r="B81" s="45"/>
      <c r="C81" s="45"/>
      <c r="D81" s="45"/>
      <c r="E81" s="45"/>
      <c r="F81" s="45"/>
      <c r="G81" s="45"/>
      <c r="H81" s="943"/>
      <c r="I81" s="45"/>
      <c r="J81" s="45"/>
      <c r="K81" s="45"/>
      <c r="L81" s="45"/>
      <c r="M81" s="45"/>
      <c r="N81" s="45"/>
      <c r="O81" s="326"/>
      <c r="P81" s="326"/>
      <c r="Q81" s="325"/>
      <c r="R81" s="23"/>
      <c r="S81" s="23"/>
      <c r="T81" s="23"/>
      <c r="U81" s="23"/>
      <c r="V81" s="26"/>
      <c r="W81" s="26"/>
      <c r="X81" s="26"/>
      <c r="Y81" s="26"/>
      <c r="Z81" s="23"/>
      <c r="AA81" s="321"/>
      <c r="AB81" s="44"/>
      <c r="AC81" s="470"/>
    </row>
    <row r="82" spans="1:29" ht="18" hidden="1">
      <c r="A82" s="46" t="s">
        <v>228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>
        <v>12000</v>
      </c>
      <c r="N82" s="45"/>
      <c r="O82" s="326"/>
      <c r="P82" s="326"/>
      <c r="Q82" s="325"/>
      <c r="R82" s="23"/>
      <c r="S82" s="23"/>
      <c r="T82" s="23"/>
      <c r="U82" s="23"/>
      <c r="V82" s="26"/>
      <c r="W82" s="26"/>
      <c r="X82" s="26"/>
      <c r="Y82" s="26"/>
      <c r="Z82" s="23"/>
      <c r="AA82" s="321"/>
      <c r="AB82" s="44"/>
      <c r="AC82" s="470"/>
    </row>
    <row r="83" spans="1:29" ht="18">
      <c r="A83" s="46" t="s">
        <v>488</v>
      </c>
      <c r="B83" s="45">
        <v>500000</v>
      </c>
      <c r="C83" s="45">
        <v>500000</v>
      </c>
      <c r="D83" s="45">
        <v>500000</v>
      </c>
      <c r="E83" s="45">
        <v>480000</v>
      </c>
      <c r="F83" s="45"/>
      <c r="G83" s="45"/>
      <c r="H83" s="45"/>
      <c r="I83" s="45"/>
      <c r="J83" s="45"/>
      <c r="K83" s="45"/>
      <c r="L83" s="45"/>
      <c r="M83" s="45"/>
      <c r="N83" s="45"/>
      <c r="O83" s="326"/>
      <c r="P83" s="326"/>
      <c r="Q83" s="325"/>
      <c r="R83" s="23"/>
      <c r="S83" s="23"/>
      <c r="T83" s="23"/>
      <c r="U83" s="23"/>
      <c r="V83" s="26"/>
      <c r="W83" s="26"/>
      <c r="X83" s="26"/>
      <c r="Y83" s="26"/>
      <c r="Z83" s="23"/>
      <c r="AA83" s="321"/>
      <c r="AB83" s="44"/>
      <c r="AC83" s="470"/>
    </row>
    <row r="84" spans="1:29" ht="47.25" customHeight="1" hidden="1">
      <c r="A84" s="46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326"/>
      <c r="P84" s="326"/>
      <c r="Q84" s="325"/>
      <c r="R84" s="23"/>
      <c r="S84" s="23"/>
      <c r="T84" s="23"/>
      <c r="U84" s="23"/>
      <c r="V84" s="26"/>
      <c r="W84" s="26"/>
      <c r="X84" s="26"/>
      <c r="Y84" s="26"/>
      <c r="Z84" s="23"/>
      <c r="AA84" s="321"/>
      <c r="AB84" s="44"/>
      <c r="AC84" s="470"/>
    </row>
    <row r="85" spans="1:29" ht="39" customHeight="1" hidden="1">
      <c r="A85" s="200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326"/>
      <c r="P85" s="326"/>
      <c r="Q85" s="325"/>
      <c r="R85" s="23"/>
      <c r="S85" s="23"/>
      <c r="T85" s="23"/>
      <c r="U85" s="23"/>
      <c r="V85" s="26"/>
      <c r="W85" s="26"/>
      <c r="X85" s="26"/>
      <c r="Y85" s="26"/>
      <c r="Z85" s="23"/>
      <c r="AA85" s="321"/>
      <c r="AB85" s="44"/>
      <c r="AC85" s="470"/>
    </row>
    <row r="86" spans="1:29" ht="39" customHeight="1" hidden="1">
      <c r="A86" s="200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326"/>
      <c r="P86" s="326"/>
      <c r="Q86" s="325"/>
      <c r="R86" s="23"/>
      <c r="S86" s="23"/>
      <c r="T86" s="23"/>
      <c r="U86" s="23"/>
      <c r="V86" s="26"/>
      <c r="W86" s="26"/>
      <c r="X86" s="26"/>
      <c r="Y86" s="26"/>
      <c r="Z86" s="23"/>
      <c r="AA86" s="321"/>
      <c r="AB86" s="44"/>
      <c r="AC86" s="470"/>
    </row>
    <row r="87" spans="1:29" ht="39" customHeight="1" hidden="1">
      <c r="A87" s="200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326"/>
      <c r="P87" s="326"/>
      <c r="Q87" s="325"/>
      <c r="R87" s="23"/>
      <c r="S87" s="23"/>
      <c r="T87" s="23"/>
      <c r="U87" s="23"/>
      <c r="V87" s="26"/>
      <c r="W87" s="26"/>
      <c r="X87" s="26"/>
      <c r="Y87" s="26"/>
      <c r="Z87" s="23"/>
      <c r="AA87" s="321"/>
      <c r="AB87" s="44"/>
      <c r="AC87" s="470"/>
    </row>
    <row r="88" spans="1:29" ht="39" customHeight="1" hidden="1">
      <c r="A88" s="200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326"/>
      <c r="P88" s="326"/>
      <c r="Q88" s="325"/>
      <c r="R88" s="23"/>
      <c r="S88" s="23"/>
      <c r="T88" s="23"/>
      <c r="U88" s="23"/>
      <c r="V88" s="26"/>
      <c r="W88" s="26"/>
      <c r="X88" s="26"/>
      <c r="Y88" s="26"/>
      <c r="Z88" s="23"/>
      <c r="AA88" s="321"/>
      <c r="AB88" s="44"/>
      <c r="AC88" s="470"/>
    </row>
    <row r="89" spans="1:29" ht="39" customHeight="1" hidden="1">
      <c r="A89" s="200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326"/>
      <c r="P89" s="326"/>
      <c r="Q89" s="325"/>
      <c r="R89" s="23"/>
      <c r="S89" s="23"/>
      <c r="T89" s="23"/>
      <c r="U89" s="23"/>
      <c r="V89" s="26"/>
      <c r="W89" s="26"/>
      <c r="X89" s="26"/>
      <c r="Y89" s="26"/>
      <c r="Z89" s="23"/>
      <c r="AA89" s="321"/>
      <c r="AB89" s="44"/>
      <c r="AC89" s="470"/>
    </row>
    <row r="90" spans="1:29" ht="39" customHeight="1" hidden="1">
      <c r="A90" s="200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326"/>
      <c r="P90" s="326"/>
      <c r="Q90" s="325"/>
      <c r="R90" s="23"/>
      <c r="S90" s="23"/>
      <c r="T90" s="23"/>
      <c r="U90" s="23"/>
      <c r="V90" s="26"/>
      <c r="W90" s="26"/>
      <c r="X90" s="26"/>
      <c r="Y90" s="26"/>
      <c r="Z90" s="23"/>
      <c r="AA90" s="321"/>
      <c r="AB90" s="44"/>
      <c r="AC90" s="470"/>
    </row>
    <row r="91" spans="1:29" s="12" customFormat="1" ht="27" customHeight="1" thickBot="1">
      <c r="A91" s="22" t="s">
        <v>1</v>
      </c>
      <c r="B91" s="28">
        <f aca="true" t="shared" si="2" ref="B91:G91">SUM(B70:B85)</f>
        <v>144590209</v>
      </c>
      <c r="C91" s="28">
        <f>SUM(C70:C85)</f>
        <v>144590209</v>
      </c>
      <c r="D91" s="28">
        <f>SUM(D70:D85)</f>
        <v>141616689</v>
      </c>
      <c r="E91" s="28">
        <f t="shared" si="2"/>
        <v>143694782</v>
      </c>
      <c r="F91" s="28">
        <f t="shared" si="2"/>
        <v>348530</v>
      </c>
      <c r="G91" s="28">
        <f t="shared" si="2"/>
        <v>348660</v>
      </c>
      <c r="H91" s="692">
        <f>F91/E91</f>
        <v>0.002425488212926201</v>
      </c>
      <c r="I91" s="690">
        <f aca="true" t="shared" si="3" ref="I91:V91">SUM(I70:I85)</f>
        <v>1374948</v>
      </c>
      <c r="J91" s="28">
        <f>SUM(J70:J85)</f>
        <v>1374948</v>
      </c>
      <c r="K91" s="28">
        <f>SUM(K70:K85)</f>
        <v>1374948</v>
      </c>
      <c r="L91" s="222">
        <f>SUM(L70:L85)</f>
        <v>232290</v>
      </c>
      <c r="M91" s="691">
        <f>SUM(M70:M85)</f>
        <v>12000</v>
      </c>
      <c r="N91" s="691">
        <f>SUM(N70:N85)</f>
        <v>0</v>
      </c>
      <c r="O91" s="691"/>
      <c r="P91" s="692">
        <f>M91/L91</f>
        <v>0.051659563476688625</v>
      </c>
      <c r="Q91" s="690">
        <f t="shared" si="3"/>
        <v>0</v>
      </c>
      <c r="R91" s="28">
        <f t="shared" si="3"/>
        <v>0</v>
      </c>
      <c r="S91" s="28">
        <f t="shared" si="3"/>
        <v>0</v>
      </c>
      <c r="T91" s="28">
        <f t="shared" si="3"/>
        <v>0</v>
      </c>
      <c r="U91" s="28">
        <f t="shared" si="3"/>
        <v>0</v>
      </c>
      <c r="V91" s="28">
        <f t="shared" si="3"/>
        <v>0</v>
      </c>
      <c r="W91" s="28">
        <f>SUM(W70:W90)</f>
        <v>0</v>
      </c>
      <c r="X91" s="28"/>
      <c r="Y91" s="28"/>
      <c r="Z91" s="28"/>
      <c r="AA91" s="758"/>
      <c r="AB91" s="222"/>
      <c r="AC91" s="470"/>
    </row>
    <row r="92" spans="1:28" ht="18">
      <c r="A92" s="985"/>
      <c r="B92" s="989"/>
      <c r="C92" s="14"/>
      <c r="D92" s="14"/>
      <c r="E92" s="989"/>
      <c r="F92" s="14"/>
      <c r="G92" s="986"/>
      <c r="H92" s="986"/>
      <c r="I92" s="987"/>
      <c r="J92" s="986"/>
      <c r="K92" s="987"/>
      <c r="L92" s="986"/>
      <c r="M92" s="987"/>
      <c r="N92" s="987"/>
      <c r="O92" s="987"/>
      <c r="P92" s="14"/>
      <c r="Q92" s="14"/>
      <c r="R92" s="14"/>
      <c r="S92" s="14"/>
      <c r="T92" s="14"/>
      <c r="U92" s="14"/>
      <c r="V92" s="839"/>
      <c r="W92" s="14"/>
      <c r="X92" s="14"/>
      <c r="Y92" s="14"/>
      <c r="Z92" s="14"/>
      <c r="AA92" s="14"/>
      <c r="AB92" s="14"/>
    </row>
    <row r="93" spans="1:28" ht="14.25" hidden="1">
      <c r="A93" s="1469"/>
      <c r="B93" s="1469"/>
      <c r="C93" s="1469"/>
      <c r="D93" s="1469"/>
      <c r="E93" s="1469"/>
      <c r="F93" s="1469"/>
      <c r="G93" s="1469"/>
      <c r="H93" s="1469"/>
      <c r="I93" s="1469"/>
      <c r="J93" s="1469"/>
      <c r="K93" s="1469"/>
      <c r="L93" s="1469"/>
      <c r="M93" s="1469"/>
      <c r="N93" s="1469"/>
      <c r="O93" s="1469"/>
      <c r="P93" s="1469"/>
      <c r="Q93" s="1469"/>
      <c r="R93" s="1469"/>
      <c r="S93" s="1469"/>
      <c r="T93" s="1469"/>
      <c r="U93" s="1469"/>
      <c r="V93" s="1469"/>
      <c r="W93" s="14"/>
      <c r="X93" s="14"/>
      <c r="Y93" s="14"/>
      <c r="Z93" s="14"/>
      <c r="AA93" s="14"/>
      <c r="AB93" s="14"/>
    </row>
    <row r="94" spans="1:28" ht="18.75" hidden="1" thickBot="1">
      <c r="A94" s="988"/>
      <c r="B94" s="14"/>
      <c r="C94" s="14"/>
      <c r="D94" s="14"/>
      <c r="E94" s="989"/>
      <c r="F94" s="989"/>
      <c r="G94" s="989"/>
      <c r="H94" s="14"/>
      <c r="I94" s="14"/>
      <c r="J94" s="14"/>
      <c r="K94" s="14"/>
      <c r="L94" s="14"/>
      <c r="M94" s="14"/>
      <c r="N94" s="990"/>
      <c r="O94" s="990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ht="15.75" hidden="1">
      <c r="A95" s="1472"/>
      <c r="B95" s="1474"/>
      <c r="C95" s="1475"/>
      <c r="D95" s="1475"/>
      <c r="E95" s="1475"/>
      <c r="F95" s="1475"/>
      <c r="G95" s="1475"/>
      <c r="H95" s="1475"/>
      <c r="I95" s="1475"/>
      <c r="J95" s="1475"/>
      <c r="K95" s="1475"/>
      <c r="L95" s="1475"/>
      <c r="M95" s="1475"/>
      <c r="N95" s="1475"/>
      <c r="O95" s="1475"/>
      <c r="P95" s="1475"/>
      <c r="Q95" s="1476"/>
      <c r="R95" s="1477"/>
      <c r="S95" s="1477"/>
      <c r="T95" s="1477"/>
      <c r="U95" s="1477"/>
      <c r="V95" s="1477"/>
      <c r="W95" s="1477"/>
      <c r="X95" s="1477"/>
      <c r="Y95" s="1477"/>
      <c r="Z95" s="1477"/>
      <c r="AA95" s="1474"/>
      <c r="AB95" s="1478"/>
    </row>
    <row r="96" spans="1:28" ht="15.75" hidden="1">
      <c r="A96" s="1473"/>
      <c r="B96" s="1479"/>
      <c r="C96" s="1480"/>
      <c r="D96" s="1480"/>
      <c r="E96" s="1480"/>
      <c r="F96" s="1480"/>
      <c r="G96" s="1480"/>
      <c r="H96" s="1481"/>
      <c r="I96" s="1479"/>
      <c r="J96" s="1480"/>
      <c r="K96" s="1480"/>
      <c r="L96" s="1480"/>
      <c r="M96" s="1480"/>
      <c r="N96" s="1480"/>
      <c r="O96" s="1480"/>
      <c r="P96" s="1480"/>
      <c r="Q96" s="1482"/>
      <c r="R96" s="1483"/>
      <c r="S96" s="1483"/>
      <c r="T96" s="1483"/>
      <c r="U96" s="1483"/>
      <c r="V96" s="1483"/>
      <c r="W96" s="1483"/>
      <c r="X96" s="1483"/>
      <c r="Y96" s="1483"/>
      <c r="Z96" s="1483"/>
      <c r="AA96" s="1479"/>
      <c r="AB96" s="1484"/>
    </row>
    <row r="97" spans="1:28" ht="15.75" hidden="1">
      <c r="A97" s="991"/>
      <c r="B97" s="994"/>
      <c r="C97" s="994"/>
      <c r="D97" s="995"/>
      <c r="E97" s="994"/>
      <c r="F97" s="994"/>
      <c r="G97" s="994"/>
      <c r="H97" s="994"/>
      <c r="I97" s="994"/>
      <c r="J97" s="993"/>
      <c r="K97" s="996"/>
      <c r="L97" s="997"/>
      <c r="M97" s="994"/>
      <c r="N97" s="998"/>
      <c r="O97" s="998"/>
      <c r="P97" s="997"/>
      <c r="Q97" s="992"/>
      <c r="R97" s="994"/>
      <c r="S97" s="995"/>
      <c r="T97" s="994"/>
      <c r="U97" s="994"/>
      <c r="V97" s="994"/>
      <c r="W97" s="994"/>
      <c r="X97" s="995"/>
      <c r="Y97" s="994"/>
      <c r="Z97" s="994"/>
      <c r="AA97" s="998"/>
      <c r="AB97" s="994"/>
    </row>
    <row r="98" spans="1:28" ht="18" hidden="1">
      <c r="A98" s="21"/>
      <c r="B98" s="23"/>
      <c r="C98" s="23"/>
      <c r="D98" s="23"/>
      <c r="E98" s="23"/>
      <c r="F98" s="23"/>
      <c r="G98" s="23"/>
      <c r="H98" s="688"/>
      <c r="I98" s="23"/>
      <c r="J98" s="23"/>
      <c r="K98" s="23"/>
      <c r="L98" s="23"/>
      <c r="M98" s="321"/>
      <c r="N98" s="321"/>
      <c r="O98" s="321"/>
      <c r="P98" s="321"/>
      <c r="Q98" s="325"/>
      <c r="R98" s="23"/>
      <c r="S98" s="23"/>
      <c r="T98" s="23"/>
      <c r="U98" s="23"/>
      <c r="V98" s="23"/>
      <c r="W98" s="23"/>
      <c r="X98" s="23"/>
      <c r="Y98" s="23"/>
      <c r="Z98" s="23"/>
      <c r="AA98" s="321"/>
      <c r="AB98" s="44"/>
    </row>
    <row r="99" spans="1:28" ht="18" hidden="1">
      <c r="A99" s="21"/>
      <c r="B99" s="841"/>
      <c r="C99" s="841"/>
      <c r="D99" s="841"/>
      <c r="E99" s="841"/>
      <c r="F99" s="841"/>
      <c r="G99" s="841"/>
      <c r="H99" s="688"/>
      <c r="I99" s="841"/>
      <c r="J99" s="841"/>
      <c r="K99" s="841"/>
      <c r="L99" s="841"/>
      <c r="M99" s="840"/>
      <c r="N99" s="840"/>
      <c r="O99" s="840"/>
      <c r="P99" s="840"/>
      <c r="Q99" s="325"/>
      <c r="R99" s="23"/>
      <c r="S99" s="23"/>
      <c r="T99" s="23"/>
      <c r="U99" s="23"/>
      <c r="V99" s="23"/>
      <c r="W99" s="23"/>
      <c r="X99" s="23"/>
      <c r="Y99" s="23"/>
      <c r="Z99" s="23"/>
      <c r="AA99" s="321"/>
      <c r="AB99" s="44"/>
    </row>
    <row r="100" spans="1:28" ht="18" hidden="1">
      <c r="A100" s="200"/>
      <c r="B100" s="841"/>
      <c r="C100" s="841"/>
      <c r="D100" s="841"/>
      <c r="E100" s="841"/>
      <c r="F100" s="841"/>
      <c r="G100" s="841"/>
      <c r="H100" s="841"/>
      <c r="I100" s="841"/>
      <c r="J100" s="841"/>
      <c r="K100" s="841"/>
      <c r="L100" s="841"/>
      <c r="M100" s="841"/>
      <c r="N100" s="841"/>
      <c r="O100" s="840"/>
      <c r="P100" s="688"/>
      <c r="Q100" s="325"/>
      <c r="R100" s="23"/>
      <c r="S100" s="23"/>
      <c r="T100" s="23"/>
      <c r="U100" s="23"/>
      <c r="V100" s="23"/>
      <c r="W100" s="23"/>
      <c r="X100" s="23"/>
      <c r="Y100" s="23"/>
      <c r="Z100" s="23"/>
      <c r="AA100" s="321"/>
      <c r="AB100" s="44"/>
    </row>
    <row r="101" spans="1:28" ht="18" hidden="1">
      <c r="A101" s="200"/>
      <c r="B101" s="841"/>
      <c r="C101" s="841"/>
      <c r="D101" s="841"/>
      <c r="E101" s="841"/>
      <c r="F101" s="841"/>
      <c r="G101" s="841"/>
      <c r="H101" s="841"/>
      <c r="I101" s="841"/>
      <c r="J101" s="841"/>
      <c r="K101" s="841"/>
      <c r="L101" s="841"/>
      <c r="M101" s="841"/>
      <c r="N101" s="841"/>
      <c r="O101" s="840"/>
      <c r="P101" s="688"/>
      <c r="Q101" s="325"/>
      <c r="R101" s="23"/>
      <c r="S101" s="23"/>
      <c r="T101" s="23"/>
      <c r="U101" s="23"/>
      <c r="V101" s="23"/>
      <c r="W101" s="23"/>
      <c r="X101" s="23"/>
      <c r="Y101" s="23"/>
      <c r="Z101" s="23"/>
      <c r="AA101" s="321"/>
      <c r="AB101" s="44"/>
    </row>
    <row r="102" spans="1:28" ht="18" hidden="1">
      <c r="A102" s="200"/>
      <c r="B102" s="841"/>
      <c r="C102" s="841"/>
      <c r="D102" s="841"/>
      <c r="E102" s="841"/>
      <c r="F102" s="841"/>
      <c r="G102" s="841"/>
      <c r="H102" s="841"/>
      <c r="I102" s="841"/>
      <c r="J102" s="841"/>
      <c r="K102" s="841"/>
      <c r="L102" s="841"/>
      <c r="M102" s="841"/>
      <c r="N102" s="841"/>
      <c r="O102" s="840"/>
      <c r="P102" s="688"/>
      <c r="Q102" s="325"/>
      <c r="R102" s="23"/>
      <c r="S102" s="23"/>
      <c r="T102" s="23"/>
      <c r="U102" s="23"/>
      <c r="V102" s="23"/>
      <c r="W102" s="23"/>
      <c r="X102" s="23"/>
      <c r="Y102" s="23"/>
      <c r="Z102" s="23"/>
      <c r="AA102" s="321"/>
      <c r="AB102" s="44"/>
    </row>
    <row r="103" spans="1:28" ht="18" hidden="1">
      <c r="A103" s="200"/>
      <c r="B103" s="841"/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1"/>
      <c r="O103" s="840"/>
      <c r="P103" s="688"/>
      <c r="Q103" s="325"/>
      <c r="R103" s="23"/>
      <c r="S103" s="23"/>
      <c r="T103" s="23"/>
      <c r="U103" s="23"/>
      <c r="V103" s="23"/>
      <c r="W103" s="23"/>
      <c r="X103" s="23"/>
      <c r="Y103" s="23"/>
      <c r="Z103" s="23"/>
      <c r="AA103" s="321"/>
      <c r="AB103" s="44"/>
    </row>
    <row r="104" spans="1:28" ht="18" hidden="1">
      <c r="A104" s="200"/>
      <c r="B104" s="841"/>
      <c r="C104" s="841"/>
      <c r="D104" s="841"/>
      <c r="E104" s="841"/>
      <c r="F104" s="841"/>
      <c r="G104" s="841"/>
      <c r="H104" s="841"/>
      <c r="I104" s="841"/>
      <c r="J104" s="841"/>
      <c r="K104" s="841"/>
      <c r="L104" s="841"/>
      <c r="M104" s="841"/>
      <c r="N104" s="841"/>
      <c r="O104" s="840"/>
      <c r="P104" s="688"/>
      <c r="Q104" s="325"/>
      <c r="R104" s="23"/>
      <c r="S104" s="23"/>
      <c r="T104" s="23"/>
      <c r="U104" s="23"/>
      <c r="V104" s="23"/>
      <c r="W104" s="23"/>
      <c r="X104" s="23"/>
      <c r="Y104" s="23"/>
      <c r="Z104" s="23"/>
      <c r="AA104" s="321"/>
      <c r="AB104" s="44"/>
    </row>
    <row r="105" spans="1:28" ht="18" hidden="1">
      <c r="A105" s="200"/>
      <c r="B105" s="841"/>
      <c r="C105" s="841"/>
      <c r="D105" s="841"/>
      <c r="E105" s="841"/>
      <c r="F105" s="841"/>
      <c r="G105" s="841"/>
      <c r="H105" s="841"/>
      <c r="I105" s="841"/>
      <c r="J105" s="841"/>
      <c r="K105" s="841"/>
      <c r="L105" s="841"/>
      <c r="M105" s="841"/>
      <c r="N105" s="841"/>
      <c r="O105" s="840"/>
      <c r="P105" s="688"/>
      <c r="Q105" s="325"/>
      <c r="R105" s="23"/>
      <c r="S105" s="23"/>
      <c r="T105" s="23"/>
      <c r="U105" s="23"/>
      <c r="V105" s="23"/>
      <c r="W105" s="23"/>
      <c r="X105" s="23"/>
      <c r="Y105" s="23"/>
      <c r="Z105" s="23"/>
      <c r="AA105" s="321"/>
      <c r="AB105" s="44"/>
    </row>
    <row r="106" spans="1:28" ht="18" hidden="1">
      <c r="A106" s="200"/>
      <c r="B106" s="841"/>
      <c r="C106" s="841"/>
      <c r="D106" s="841"/>
      <c r="E106" s="841"/>
      <c r="F106" s="841"/>
      <c r="G106" s="841"/>
      <c r="H106" s="841"/>
      <c r="I106" s="841"/>
      <c r="J106" s="841"/>
      <c r="K106" s="841"/>
      <c r="L106" s="841"/>
      <c r="M106" s="841"/>
      <c r="N106" s="841"/>
      <c r="O106" s="840"/>
      <c r="P106" s="688"/>
      <c r="Q106" s="325"/>
      <c r="R106" s="23"/>
      <c r="S106" s="23"/>
      <c r="T106" s="23"/>
      <c r="U106" s="23"/>
      <c r="V106" s="23"/>
      <c r="W106" s="23"/>
      <c r="X106" s="23"/>
      <c r="Y106" s="23"/>
      <c r="Z106" s="23"/>
      <c r="AA106" s="321"/>
      <c r="AB106" s="44"/>
    </row>
    <row r="107" spans="1:28" ht="18" hidden="1">
      <c r="A107" s="200"/>
      <c r="B107" s="841"/>
      <c r="C107" s="841"/>
      <c r="D107" s="841"/>
      <c r="E107" s="841"/>
      <c r="F107" s="841"/>
      <c r="G107" s="841"/>
      <c r="H107" s="841"/>
      <c r="I107" s="841"/>
      <c r="J107" s="841"/>
      <c r="K107" s="841"/>
      <c r="L107" s="841"/>
      <c r="M107" s="841"/>
      <c r="N107" s="841"/>
      <c r="O107" s="840"/>
      <c r="P107" s="688"/>
      <c r="Q107" s="325"/>
      <c r="R107" s="23"/>
      <c r="S107" s="23"/>
      <c r="T107" s="23"/>
      <c r="U107" s="23"/>
      <c r="V107" s="23"/>
      <c r="W107" s="23"/>
      <c r="X107" s="23"/>
      <c r="Y107" s="23"/>
      <c r="Z107" s="23"/>
      <c r="AA107" s="321"/>
      <c r="AB107" s="44"/>
    </row>
    <row r="108" spans="1:28" ht="18" hidden="1">
      <c r="A108" s="200"/>
      <c r="B108" s="841"/>
      <c r="C108" s="841"/>
      <c r="D108" s="841"/>
      <c r="E108" s="841"/>
      <c r="F108" s="841"/>
      <c r="G108" s="841"/>
      <c r="H108" s="688"/>
      <c r="I108" s="841"/>
      <c r="J108" s="841"/>
      <c r="K108" s="841"/>
      <c r="L108" s="841"/>
      <c r="M108" s="841"/>
      <c r="N108" s="841"/>
      <c r="O108" s="840"/>
      <c r="P108" s="840"/>
      <c r="Q108" s="325"/>
      <c r="R108" s="23"/>
      <c r="S108" s="23"/>
      <c r="T108" s="23"/>
      <c r="U108" s="23"/>
      <c r="V108" s="23"/>
      <c r="W108" s="23"/>
      <c r="X108" s="23"/>
      <c r="Y108" s="23"/>
      <c r="Z108" s="23"/>
      <c r="AA108" s="321"/>
      <c r="AB108" s="44"/>
    </row>
    <row r="109" spans="1:28" ht="18" hidden="1">
      <c r="A109" s="200"/>
      <c r="B109" s="841"/>
      <c r="C109" s="841"/>
      <c r="D109" s="841"/>
      <c r="E109" s="841"/>
      <c r="F109" s="841"/>
      <c r="G109" s="841"/>
      <c r="H109" s="841"/>
      <c r="I109" s="841"/>
      <c r="J109" s="841"/>
      <c r="K109" s="841"/>
      <c r="L109" s="841"/>
      <c r="M109" s="841"/>
      <c r="N109" s="841"/>
      <c r="O109" s="840"/>
      <c r="P109" s="840"/>
      <c r="Q109" s="325"/>
      <c r="R109" s="23"/>
      <c r="S109" s="23"/>
      <c r="T109" s="23"/>
      <c r="U109" s="23"/>
      <c r="V109" s="23"/>
      <c r="W109" s="23"/>
      <c r="X109" s="23"/>
      <c r="Y109" s="23"/>
      <c r="Z109" s="23"/>
      <c r="AA109" s="321"/>
      <c r="AB109" s="44"/>
    </row>
    <row r="110" spans="1:28" ht="18" hidden="1">
      <c r="A110" s="200"/>
      <c r="B110" s="841"/>
      <c r="C110" s="841"/>
      <c r="D110" s="841"/>
      <c r="E110" s="841"/>
      <c r="F110" s="841"/>
      <c r="G110" s="841"/>
      <c r="H110" s="841"/>
      <c r="I110" s="841"/>
      <c r="J110" s="841"/>
      <c r="K110" s="841"/>
      <c r="L110" s="841"/>
      <c r="M110" s="841"/>
      <c r="N110" s="841"/>
      <c r="O110" s="840"/>
      <c r="P110" s="840"/>
      <c r="Q110" s="325"/>
      <c r="R110" s="23"/>
      <c r="S110" s="23"/>
      <c r="T110" s="23"/>
      <c r="U110" s="23"/>
      <c r="V110" s="23"/>
      <c r="W110" s="23"/>
      <c r="X110" s="23"/>
      <c r="Y110" s="23"/>
      <c r="Z110" s="23"/>
      <c r="AA110" s="321"/>
      <c r="AB110" s="44"/>
    </row>
    <row r="111" spans="1:28" ht="18" hidden="1">
      <c r="A111" s="200"/>
      <c r="B111" s="841"/>
      <c r="C111" s="841"/>
      <c r="D111" s="841"/>
      <c r="E111" s="841"/>
      <c r="F111" s="841"/>
      <c r="G111" s="841"/>
      <c r="H111" s="841"/>
      <c r="I111" s="841"/>
      <c r="J111" s="841"/>
      <c r="K111" s="841"/>
      <c r="L111" s="841"/>
      <c r="M111" s="841"/>
      <c r="N111" s="841"/>
      <c r="O111" s="840"/>
      <c r="P111" s="840"/>
      <c r="Q111" s="325"/>
      <c r="R111" s="23"/>
      <c r="S111" s="23"/>
      <c r="T111" s="23"/>
      <c r="U111" s="23"/>
      <c r="V111" s="23"/>
      <c r="W111" s="23"/>
      <c r="X111" s="23"/>
      <c r="Y111" s="23"/>
      <c r="Z111" s="23"/>
      <c r="AA111" s="321"/>
      <c r="AB111" s="44"/>
    </row>
    <row r="112" spans="1:28" ht="18" hidden="1">
      <c r="A112" s="200"/>
      <c r="B112" s="841"/>
      <c r="C112" s="841"/>
      <c r="D112" s="841"/>
      <c r="E112" s="841"/>
      <c r="F112" s="841"/>
      <c r="G112" s="841"/>
      <c r="H112" s="841"/>
      <c r="I112" s="841"/>
      <c r="J112" s="841"/>
      <c r="K112" s="841"/>
      <c r="L112" s="841"/>
      <c r="M112" s="841"/>
      <c r="N112" s="841"/>
      <c r="O112" s="840"/>
      <c r="P112" s="840"/>
      <c r="Q112" s="325"/>
      <c r="R112" s="23"/>
      <c r="S112" s="23"/>
      <c r="T112" s="23"/>
      <c r="U112" s="23"/>
      <c r="V112" s="23"/>
      <c r="W112" s="23"/>
      <c r="X112" s="23"/>
      <c r="Y112" s="23"/>
      <c r="Z112" s="23"/>
      <c r="AA112" s="321"/>
      <c r="AB112" s="44"/>
    </row>
    <row r="113" spans="1:28" ht="18" hidden="1">
      <c r="A113" s="200"/>
      <c r="B113" s="841"/>
      <c r="C113" s="841"/>
      <c r="D113" s="841"/>
      <c r="E113" s="841"/>
      <c r="F113" s="841"/>
      <c r="G113" s="841"/>
      <c r="H113" s="841"/>
      <c r="I113" s="841"/>
      <c r="J113" s="841"/>
      <c r="K113" s="841"/>
      <c r="L113" s="841"/>
      <c r="M113" s="841"/>
      <c r="N113" s="841"/>
      <c r="O113" s="840"/>
      <c r="P113" s="840"/>
      <c r="Q113" s="325"/>
      <c r="R113" s="23"/>
      <c r="S113" s="23"/>
      <c r="T113" s="23"/>
      <c r="U113" s="23"/>
      <c r="V113" s="23"/>
      <c r="W113" s="23"/>
      <c r="X113" s="23"/>
      <c r="Y113" s="23"/>
      <c r="Z113" s="23"/>
      <c r="AA113" s="321"/>
      <c r="AB113" s="44"/>
    </row>
    <row r="114" spans="1:28" ht="18" hidden="1">
      <c r="A114" s="200"/>
      <c r="B114" s="841"/>
      <c r="C114" s="841"/>
      <c r="D114" s="841"/>
      <c r="E114" s="841"/>
      <c r="F114" s="841"/>
      <c r="G114" s="841"/>
      <c r="H114" s="841"/>
      <c r="I114" s="841"/>
      <c r="J114" s="841"/>
      <c r="K114" s="841"/>
      <c r="L114" s="841"/>
      <c r="M114" s="841"/>
      <c r="N114" s="841"/>
      <c r="O114" s="840"/>
      <c r="P114" s="840"/>
      <c r="Q114" s="325"/>
      <c r="R114" s="23"/>
      <c r="S114" s="23"/>
      <c r="T114" s="23"/>
      <c r="U114" s="23"/>
      <c r="V114" s="23"/>
      <c r="W114" s="23"/>
      <c r="X114" s="23"/>
      <c r="Y114" s="23"/>
      <c r="Z114" s="23"/>
      <c r="AA114" s="321"/>
      <c r="AB114" s="44"/>
    </row>
    <row r="115" spans="1:28" ht="18" hidden="1">
      <c r="A115" s="200"/>
      <c r="B115" s="841"/>
      <c r="C115" s="841"/>
      <c r="D115" s="841"/>
      <c r="E115" s="841"/>
      <c r="F115" s="841"/>
      <c r="G115" s="841"/>
      <c r="H115" s="841"/>
      <c r="I115" s="841"/>
      <c r="J115" s="841"/>
      <c r="K115" s="841"/>
      <c r="L115" s="841"/>
      <c r="M115" s="841"/>
      <c r="N115" s="841"/>
      <c r="O115" s="840"/>
      <c r="P115" s="840"/>
      <c r="Q115" s="325"/>
      <c r="R115" s="23"/>
      <c r="S115" s="23"/>
      <c r="T115" s="23"/>
      <c r="U115" s="23"/>
      <c r="V115" s="23"/>
      <c r="W115" s="23"/>
      <c r="X115" s="23"/>
      <c r="Y115" s="23"/>
      <c r="Z115" s="23"/>
      <c r="AA115" s="321"/>
      <c r="AB115" s="44"/>
    </row>
    <row r="116" spans="1:28" ht="18" hidden="1">
      <c r="A116" s="200"/>
      <c r="B116" s="841"/>
      <c r="C116" s="841"/>
      <c r="D116" s="841"/>
      <c r="E116" s="841"/>
      <c r="F116" s="841"/>
      <c r="G116" s="841"/>
      <c r="H116" s="841"/>
      <c r="I116" s="841"/>
      <c r="J116" s="841"/>
      <c r="K116" s="841"/>
      <c r="L116" s="841"/>
      <c r="M116" s="841"/>
      <c r="N116" s="841"/>
      <c r="O116" s="840"/>
      <c r="P116" s="840"/>
      <c r="Q116" s="325"/>
      <c r="R116" s="23"/>
      <c r="S116" s="23"/>
      <c r="T116" s="23"/>
      <c r="U116" s="23"/>
      <c r="V116" s="23"/>
      <c r="W116" s="23"/>
      <c r="X116" s="23"/>
      <c r="Y116" s="23"/>
      <c r="Z116" s="23"/>
      <c r="AA116" s="321"/>
      <c r="AB116" s="44"/>
    </row>
    <row r="117" spans="1:28" ht="18" hidden="1">
      <c r="A117" s="200"/>
      <c r="B117" s="841"/>
      <c r="C117" s="841"/>
      <c r="D117" s="841"/>
      <c r="E117" s="841"/>
      <c r="F117" s="841"/>
      <c r="G117" s="841"/>
      <c r="H117" s="841"/>
      <c r="I117" s="841"/>
      <c r="J117" s="841"/>
      <c r="K117" s="841"/>
      <c r="L117" s="841"/>
      <c r="M117" s="841"/>
      <c r="N117" s="841"/>
      <c r="O117" s="840"/>
      <c r="P117" s="840"/>
      <c r="Q117" s="325"/>
      <c r="R117" s="23"/>
      <c r="S117" s="23"/>
      <c r="T117" s="23"/>
      <c r="U117" s="23"/>
      <c r="V117" s="23"/>
      <c r="W117" s="23"/>
      <c r="X117" s="23"/>
      <c r="Y117" s="23"/>
      <c r="Z117" s="23"/>
      <c r="AA117" s="321"/>
      <c r="AB117" s="44"/>
    </row>
    <row r="118" spans="1:28" ht="18.75" hidden="1" thickBot="1">
      <c r="A118" s="999"/>
      <c r="B118" s="1000"/>
      <c r="C118" s="1000"/>
      <c r="D118" s="1000"/>
      <c r="E118" s="1000"/>
      <c r="F118" s="1000"/>
      <c r="G118" s="1000"/>
      <c r="H118" s="692"/>
      <c r="I118" s="1001"/>
      <c r="J118" s="1001"/>
      <c r="K118" s="1001"/>
      <c r="L118" s="1001"/>
      <c r="M118" s="1001"/>
      <c r="N118" s="1001"/>
      <c r="O118" s="1001"/>
      <c r="P118" s="692"/>
      <c r="Q118" s="1002"/>
      <c r="R118" s="1000"/>
      <c r="S118" s="1000"/>
      <c r="T118" s="1000"/>
      <c r="U118" s="1000"/>
      <c r="V118" s="1000"/>
      <c r="W118" s="1000"/>
      <c r="X118" s="1000"/>
      <c r="Y118" s="1001"/>
      <c r="Z118" s="1001"/>
      <c r="AA118" s="1001"/>
      <c r="AB118" s="1003"/>
    </row>
    <row r="119" spans="1:28" ht="12.75">
      <c r="A119" s="985"/>
      <c r="B119" s="989"/>
      <c r="C119" s="14"/>
      <c r="D119" s="14"/>
      <c r="E119" s="14"/>
      <c r="F119" s="14"/>
      <c r="G119" s="14"/>
      <c r="H119" s="14"/>
      <c r="I119" s="989"/>
      <c r="J119" s="989"/>
      <c r="K119" s="989"/>
      <c r="L119" s="989"/>
      <c r="M119" s="989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ht="12.75">
      <c r="A120" s="985"/>
      <c r="B120" s="989"/>
      <c r="C120" s="14"/>
      <c r="D120" s="14"/>
      <c r="E120" s="14"/>
      <c r="F120" s="14"/>
      <c r="G120" s="989"/>
      <c r="H120" s="14"/>
      <c r="I120" s="14"/>
      <c r="J120" s="989"/>
      <c r="L120" s="989"/>
      <c r="M120" s="989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 ht="12.75">
      <c r="A121" s="985"/>
      <c r="B121" s="989"/>
      <c r="C121" s="989"/>
      <c r="D121" s="14"/>
      <c r="E121" s="989"/>
      <c r="F121" s="14"/>
      <c r="G121" s="989"/>
      <c r="H121" s="14"/>
      <c r="I121" s="14"/>
      <c r="J121" s="989"/>
      <c r="L121" s="989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 ht="12.75">
      <c r="A122" s="985"/>
      <c r="B122" s="989"/>
      <c r="C122" s="14"/>
      <c r="D122" s="14"/>
      <c r="E122" s="989"/>
      <c r="F122" s="14"/>
      <c r="G122" s="989"/>
      <c r="H122" s="14"/>
      <c r="I122" s="14"/>
      <c r="J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 ht="12.75">
      <c r="A123" s="985"/>
      <c r="B123" s="14"/>
      <c r="C123" s="14"/>
      <c r="D123" s="14"/>
      <c r="E123" s="989"/>
      <c r="F123" s="14"/>
      <c r="G123" s="14"/>
      <c r="H123" s="14"/>
      <c r="I123" s="14"/>
      <c r="J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ht="12.75">
      <c r="E124" s="319"/>
    </row>
  </sheetData>
  <sheetProtection/>
  <mergeCells count="27">
    <mergeCell ref="Q1:Z1"/>
    <mergeCell ref="A93:V93"/>
    <mergeCell ref="A95:A96"/>
    <mergeCell ref="B95:P95"/>
    <mergeCell ref="Q95:AB95"/>
    <mergeCell ref="B96:H96"/>
    <mergeCell ref="I96:P96"/>
    <mergeCell ref="Q96:U96"/>
    <mergeCell ref="V96:AB96"/>
    <mergeCell ref="V9:AB9"/>
    <mergeCell ref="A65:V65"/>
    <mergeCell ref="A67:A68"/>
    <mergeCell ref="B67:P67"/>
    <mergeCell ref="Q67:AB67"/>
    <mergeCell ref="B68:H68"/>
    <mergeCell ref="I68:P68"/>
    <mergeCell ref="Q68:U68"/>
    <mergeCell ref="V68:AB68"/>
    <mergeCell ref="A3:V3"/>
    <mergeCell ref="A4:V4"/>
    <mergeCell ref="A5:V5"/>
    <mergeCell ref="A8:A9"/>
    <mergeCell ref="B8:P8"/>
    <mergeCell ref="Q8:AB8"/>
    <mergeCell ref="B9:H9"/>
    <mergeCell ref="I9:P9"/>
    <mergeCell ref="Q9:U9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2" r:id="rId1"/>
  <headerFooter alignWithMargins="0">
    <oddFooter>&amp;R
</oddFooter>
  </headerFooter>
  <colBreaks count="1" manualBreakCount="1">
    <brk id="29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C2" sqref="C2"/>
    </sheetView>
  </sheetViews>
  <sheetFormatPr defaultColWidth="9.140625" defaultRowHeight="12.75"/>
  <cols>
    <col min="1" max="1" width="8.140625" style="615" customWidth="1"/>
    <col min="2" max="2" width="64.00390625" style="615" customWidth="1"/>
    <col min="3" max="3" width="19.8515625" style="615" customWidth="1"/>
    <col min="4" max="5" width="16.7109375" style="615" customWidth="1"/>
    <col min="6" max="6" width="15.00390625" style="615" customWidth="1"/>
    <col min="7" max="12" width="15.00390625" style="615" hidden="1" customWidth="1"/>
    <col min="13" max="13" width="15.00390625" style="615" customWidth="1"/>
    <col min="14" max="16384" width="9.140625" style="615" customWidth="1"/>
  </cols>
  <sheetData>
    <row r="1" spans="3:7" ht="15">
      <c r="C1" s="1490" t="s">
        <v>536</v>
      </c>
      <c r="D1" s="1490"/>
      <c r="E1" s="1490"/>
      <c r="F1" s="1490"/>
      <c r="G1" s="1490"/>
    </row>
    <row r="2" spans="3:7" ht="15">
      <c r="C2" s="1131"/>
      <c r="D2" s="1131"/>
      <c r="E2" s="1131"/>
      <c r="F2" s="1131" t="s">
        <v>660</v>
      </c>
      <c r="G2" s="1131"/>
    </row>
    <row r="3" spans="1:7" ht="47.25" customHeight="1">
      <c r="A3" s="1489" t="s">
        <v>371</v>
      </c>
      <c r="B3" s="1489"/>
      <c r="C3" s="1489"/>
      <c r="D3" s="1489"/>
      <c r="E3" s="1489"/>
      <c r="F3" s="1489"/>
      <c r="G3" s="1489"/>
    </row>
    <row r="4" spans="1:6" ht="15.75" customHeight="1" thickBot="1">
      <c r="A4" s="616"/>
      <c r="B4" s="616"/>
      <c r="C4" s="1488" t="s">
        <v>423</v>
      </c>
      <c r="D4" s="1488"/>
      <c r="E4" s="1488"/>
      <c r="F4" s="617"/>
    </row>
    <row r="5" spans="1:12" ht="44.25" customHeight="1" thickBot="1">
      <c r="A5" s="618" t="s">
        <v>235</v>
      </c>
      <c r="B5" s="619" t="s">
        <v>372</v>
      </c>
      <c r="C5" s="620" t="s">
        <v>564</v>
      </c>
      <c r="D5" s="620" t="s">
        <v>215</v>
      </c>
      <c r="E5" s="620" t="s">
        <v>218</v>
      </c>
      <c r="F5" s="620" t="s">
        <v>220</v>
      </c>
      <c r="G5" s="620" t="s">
        <v>232</v>
      </c>
      <c r="H5" s="620" t="s">
        <v>237</v>
      </c>
      <c r="I5" s="620" t="s">
        <v>221</v>
      </c>
      <c r="J5" s="620" t="s">
        <v>415</v>
      </c>
      <c r="K5" s="620" t="s">
        <v>419</v>
      </c>
      <c r="L5" s="620" t="s">
        <v>414</v>
      </c>
    </row>
    <row r="6" spans="1:12" ht="26.25" customHeight="1" thickBot="1">
      <c r="A6" s="621">
        <v>1</v>
      </c>
      <c r="B6" s="622">
        <v>2</v>
      </c>
      <c r="C6" s="623">
        <v>3</v>
      </c>
      <c r="D6" s="623">
        <v>4</v>
      </c>
      <c r="E6" s="623">
        <v>5</v>
      </c>
      <c r="F6" s="623">
        <v>6</v>
      </c>
      <c r="G6" s="623">
        <v>7</v>
      </c>
      <c r="H6" s="623">
        <v>8</v>
      </c>
      <c r="I6" s="623">
        <v>5</v>
      </c>
      <c r="J6" s="623">
        <v>6</v>
      </c>
      <c r="K6" s="623">
        <v>7</v>
      </c>
      <c r="L6" s="623">
        <v>7</v>
      </c>
    </row>
    <row r="7" spans="1:12" ht="31.5" customHeight="1">
      <c r="A7" s="624" t="s">
        <v>26</v>
      </c>
      <c r="B7" s="625" t="s">
        <v>268</v>
      </c>
      <c r="C7" s="626">
        <f>'1.sz.m-önk.össze.bev'!E9</f>
        <v>19350000</v>
      </c>
      <c r="D7" s="626">
        <f>'1.sz.m-önk.össze.bev'!F9</f>
        <v>19350000</v>
      </c>
      <c r="E7" s="626">
        <f>'1.sz.m-önk.össze.bev'!G9</f>
        <v>19350000</v>
      </c>
      <c r="F7" s="626">
        <f>'1.sz.m-önk.össze.bev'!H9</f>
        <v>20155482</v>
      </c>
      <c r="G7" s="626">
        <f>'1.sz.m-önk.össze.bev'!I9</f>
        <v>0</v>
      </c>
      <c r="H7" s="626">
        <f>'1.sz.m-önk.össze.bev'!J9</f>
        <v>0</v>
      </c>
      <c r="I7" s="626">
        <f>'1.sz.m-önk.össze.bev'!K9</f>
        <v>19350000</v>
      </c>
      <c r="J7" s="626">
        <f>'1.sz.m-önk.össze.bev'!L9</f>
        <v>19350000</v>
      </c>
      <c r="K7" s="626">
        <f>'1.sz.m-önk.össze.bev'!M9</f>
        <v>19350000</v>
      </c>
      <c r="L7" s="626">
        <f>'1.sz.m-önk.össze.bev'!N9</f>
        <v>20155482</v>
      </c>
    </row>
    <row r="8" spans="1:12" ht="26.25" customHeight="1">
      <c r="A8" s="627" t="s">
        <v>27</v>
      </c>
      <c r="B8" s="625" t="s">
        <v>373</v>
      </c>
      <c r="C8" s="628">
        <f>'1.sz.m-önk.össze.bev'!E14</f>
        <v>185000000</v>
      </c>
      <c r="D8" s="628">
        <f>'1.sz.m-önk.össze.bev'!F14</f>
        <v>185000000</v>
      </c>
      <c r="E8" s="628">
        <f>'1.sz.m-önk.össze.bev'!G14</f>
        <v>185000000</v>
      </c>
      <c r="F8" s="628">
        <f>'1.sz.m-önk.össze.bev'!H14</f>
        <v>186935256</v>
      </c>
      <c r="G8" s="628">
        <f>'1.sz.m-önk.össze.bev'!I14</f>
        <v>0</v>
      </c>
      <c r="H8" s="628">
        <f>'1.sz.m-önk.össze.bev'!J14</f>
        <v>0</v>
      </c>
      <c r="I8" s="628">
        <f>'1.sz.m-önk.össze.bev'!K14</f>
        <v>170323131</v>
      </c>
      <c r="J8" s="628">
        <f>'1.sz.m-önk.össze.bev'!L14</f>
        <v>162363352</v>
      </c>
      <c r="K8" s="628">
        <f>'1.sz.m-önk.össze.bev'!M14</f>
        <v>162363352</v>
      </c>
      <c r="L8" s="628">
        <f>'1.sz.m-önk.össze.bev'!N14</f>
        <v>168973204</v>
      </c>
    </row>
    <row r="9" spans="1:12" ht="33.75" customHeight="1">
      <c r="A9" s="629" t="s">
        <v>9</v>
      </c>
      <c r="B9" s="630" t="s">
        <v>374</v>
      </c>
      <c r="C9" s="631">
        <f>'1.sz.m-önk.össze.bev'!E18</f>
        <v>0</v>
      </c>
      <c r="D9" s="631">
        <f>'1.sz.m-önk.össze.bev'!F18</f>
        <v>0</v>
      </c>
      <c r="E9" s="631">
        <f>'1.sz.m-önk.össze.bev'!G18</f>
        <v>0</v>
      </c>
      <c r="F9" s="631">
        <f>'1.sz.m-önk.össze.bev'!H18</f>
        <v>0</v>
      </c>
      <c r="G9" s="631">
        <f>'1.sz.m-önk.össze.bev'!I18</f>
        <v>0</v>
      </c>
      <c r="H9" s="631">
        <f>'1.sz.m-önk.össze.bev'!J18</f>
        <v>0</v>
      </c>
      <c r="I9" s="631">
        <f>'1.sz.m-önk.össze.bev'!K18</f>
        <v>0</v>
      </c>
      <c r="J9" s="631">
        <f>'1.sz.m-önk.össze.bev'!L18</f>
        <v>0</v>
      </c>
      <c r="K9" s="631">
        <f>'1.sz.m-önk.össze.bev'!M18</f>
        <v>0</v>
      </c>
      <c r="L9" s="631">
        <f>'1.sz.m-önk.össze.bev'!N18</f>
        <v>0</v>
      </c>
    </row>
    <row r="10" spans="1:12" ht="33" customHeight="1">
      <c r="A10" s="627" t="s">
        <v>10</v>
      </c>
      <c r="B10" s="632" t="s">
        <v>283</v>
      </c>
      <c r="C10" s="631">
        <f>'1.sz.m-önk.össze.bev'!E21</f>
        <v>1410000</v>
      </c>
      <c r="D10" s="631">
        <f>'1.sz.m-önk.össze.bev'!F21</f>
        <v>1410000</v>
      </c>
      <c r="E10" s="631">
        <f>'1.sz.m-önk.össze.bev'!G21</f>
        <v>1410000</v>
      </c>
      <c r="F10" s="631">
        <f>'1.sz.m-önk.össze.bev'!H21</f>
        <v>3266667</v>
      </c>
      <c r="G10" s="631">
        <f>'1.sz.m-önk.össze.bev'!I21</f>
        <v>0</v>
      </c>
      <c r="H10" s="631">
        <f>'1.sz.m-önk.össze.bev'!J21</f>
        <v>0</v>
      </c>
      <c r="I10" s="631">
        <f>'1.sz.m-önk.össze.bev'!K21</f>
        <v>1410000</v>
      </c>
      <c r="J10" s="631">
        <f>'1.sz.m-önk.össze.bev'!L21</f>
        <v>1410000</v>
      </c>
      <c r="K10" s="631">
        <f>'1.sz.m-önk.össze.bev'!M21</f>
        <v>1410000</v>
      </c>
      <c r="L10" s="631">
        <f>'1.sz.m-önk.össze.bev'!N21</f>
        <v>3266667</v>
      </c>
    </row>
    <row r="11" spans="1:12" ht="26.25" customHeight="1">
      <c r="A11" s="629" t="s">
        <v>11</v>
      </c>
      <c r="B11" s="632" t="s">
        <v>375</v>
      </c>
      <c r="C11" s="633">
        <f>'1.sz.m-önk.össze.bev'!E26</f>
        <v>1325401</v>
      </c>
      <c r="D11" s="633">
        <f>'1.sz.m-önk.össze.bev'!F26</f>
        <v>1325401</v>
      </c>
      <c r="E11" s="633">
        <f>'1.sz.m-önk.össze.bev'!G26</f>
        <v>1325401</v>
      </c>
      <c r="F11" s="633">
        <f>'1.sz.m-önk.össze.bev'!H26</f>
        <v>643286</v>
      </c>
      <c r="G11" s="633">
        <f>'1.sz.m-önk.össze.bev'!I26</f>
        <v>0</v>
      </c>
      <c r="H11" s="633">
        <f>'1.sz.m-önk.össze.bev'!J26</f>
        <v>0</v>
      </c>
      <c r="I11" s="633">
        <f>'1.sz.m-önk.össze.bev'!K26</f>
        <v>1325401</v>
      </c>
      <c r="J11" s="633">
        <f>'1.sz.m-önk.össze.bev'!L26</f>
        <v>1325401</v>
      </c>
      <c r="K11" s="633">
        <f>'1.sz.m-önk.össze.bev'!M26</f>
        <v>1325401</v>
      </c>
      <c r="L11" s="633">
        <f>'1.sz.m-önk.össze.bev'!N26</f>
        <v>643286</v>
      </c>
    </row>
    <row r="12" spans="1:12" ht="26.25" customHeight="1" thickBot="1">
      <c r="A12" s="629" t="s">
        <v>12</v>
      </c>
      <c r="B12" s="632" t="s">
        <v>474</v>
      </c>
      <c r="C12" s="631">
        <f>'1.sz.m-önk.össze.bev'!E56</f>
        <v>600000</v>
      </c>
      <c r="D12" s="631">
        <f>'1.sz.m-önk.össze.bev'!F56</f>
        <v>600000</v>
      </c>
      <c r="E12" s="631">
        <f>'1.sz.m-önk.össze.bev'!G56</f>
        <v>600000</v>
      </c>
      <c r="F12" s="631">
        <f>'1.sz.m-önk.össze.bev'!H56</f>
        <v>1264300</v>
      </c>
      <c r="G12" s="631">
        <f>'1.sz.m-önk.össze.bev'!I56</f>
        <v>0</v>
      </c>
      <c r="H12" s="631">
        <f>'1.sz.m-önk.össze.bev'!J56</f>
        <v>0</v>
      </c>
      <c r="I12" s="631">
        <f>'1.sz.m-önk.össze.bev'!K56</f>
        <v>600000</v>
      </c>
      <c r="J12" s="631">
        <f>'1.sz.m-önk.össze.bev'!L56</f>
        <v>600000</v>
      </c>
      <c r="K12" s="631">
        <f>'1.sz.m-önk.össze.bev'!M56</f>
        <v>600000</v>
      </c>
      <c r="L12" s="631">
        <f>'1.sz.m-önk.össze.bev'!N56</f>
        <v>1264300</v>
      </c>
    </row>
    <row r="13" spans="1:12" ht="26.25" customHeight="1" thickBot="1">
      <c r="A13" s="1485" t="s">
        <v>376</v>
      </c>
      <c r="B13" s="1486"/>
      <c r="C13" s="634">
        <f aca="true" t="shared" si="0" ref="C13:L13">SUM(C7:C12)</f>
        <v>207685401</v>
      </c>
      <c r="D13" s="634">
        <f>SUM(D7:D12)</f>
        <v>207685401</v>
      </c>
      <c r="E13" s="634">
        <f>SUM(E7:E12)</f>
        <v>207685401</v>
      </c>
      <c r="F13" s="634">
        <f t="shared" si="0"/>
        <v>212264991</v>
      </c>
      <c r="G13" s="634">
        <f t="shared" si="0"/>
        <v>0</v>
      </c>
      <c r="H13" s="634">
        <f t="shared" si="0"/>
        <v>0</v>
      </c>
      <c r="I13" s="634">
        <f t="shared" si="0"/>
        <v>193008532</v>
      </c>
      <c r="J13" s="634">
        <f t="shared" si="0"/>
        <v>185048753</v>
      </c>
      <c r="K13" s="634">
        <f t="shared" si="0"/>
        <v>185048753</v>
      </c>
      <c r="L13" s="634">
        <f t="shared" si="0"/>
        <v>194302939</v>
      </c>
    </row>
    <row r="14" spans="1:5" ht="23.25" customHeight="1">
      <c r="A14" s="1487"/>
      <c r="B14" s="1487"/>
      <c r="C14" s="1487"/>
      <c r="D14" s="635"/>
      <c r="E14" s="635"/>
    </row>
  </sheetData>
  <sheetProtection/>
  <mergeCells count="5">
    <mergeCell ref="A13:B13"/>
    <mergeCell ref="A14:C14"/>
    <mergeCell ref="C4:E4"/>
    <mergeCell ref="A3:G3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G2" sqref="G2"/>
    </sheetView>
  </sheetViews>
  <sheetFormatPr defaultColWidth="9.140625" defaultRowHeight="12.75"/>
  <cols>
    <col min="1" max="1" width="5.57421875" style="693" customWidth="1"/>
    <col min="2" max="2" width="24.7109375" style="694" customWidth="1"/>
    <col min="3" max="3" width="9.57421875" style="695" bestFit="1" customWidth="1"/>
    <col min="4" max="4" width="11.421875" style="695" customWidth="1"/>
    <col min="5" max="13" width="9.57421875" style="695" bestFit="1" customWidth="1"/>
    <col min="14" max="14" width="9.28125" style="695" customWidth="1"/>
    <col min="15" max="15" width="13.00390625" style="693" customWidth="1"/>
    <col min="16" max="16" width="15.8515625" style="695" customWidth="1"/>
    <col min="17" max="17" width="13.28125" style="695" customWidth="1"/>
    <col min="18" max="18" width="12.421875" style="695" bestFit="1" customWidth="1"/>
    <col min="19" max="19" width="12.57421875" style="695" customWidth="1"/>
    <col min="20" max="16384" width="9.140625" style="695" customWidth="1"/>
  </cols>
  <sheetData>
    <row r="1" spans="7:15" ht="15.75">
      <c r="G1" s="1496" t="s">
        <v>593</v>
      </c>
      <c r="H1" s="1496"/>
      <c r="I1" s="1496"/>
      <c r="J1" s="1496"/>
      <c r="K1" s="1496"/>
      <c r="L1" s="1496"/>
      <c r="M1" s="1496"/>
      <c r="N1" s="1496"/>
      <c r="O1" s="1496"/>
    </row>
    <row r="2" spans="7:15" ht="15.75">
      <c r="G2" s="1132"/>
      <c r="H2" s="1132"/>
      <c r="I2" s="1132"/>
      <c r="J2" s="1132"/>
      <c r="K2" s="1132"/>
      <c r="L2" s="1132"/>
      <c r="M2" s="1132"/>
      <c r="N2" s="1132"/>
      <c r="O2" s="1132" t="s">
        <v>661</v>
      </c>
    </row>
    <row r="3" spans="1:15" ht="31.5" customHeight="1">
      <c r="A3" s="1491" t="s">
        <v>565</v>
      </c>
      <c r="B3" s="1492"/>
      <c r="C3" s="1492"/>
      <c r="D3" s="1492"/>
      <c r="E3" s="1492"/>
      <c r="F3" s="1492"/>
      <c r="G3" s="1492"/>
      <c r="H3" s="1492"/>
      <c r="I3" s="1492"/>
      <c r="J3" s="1492"/>
      <c r="K3" s="1492"/>
      <c r="L3" s="1492"/>
      <c r="M3" s="1492"/>
      <c r="N3" s="1492"/>
      <c r="O3" s="1492"/>
    </row>
    <row r="4" ht="16.5" thickBot="1">
      <c r="O4" s="696" t="s">
        <v>427</v>
      </c>
    </row>
    <row r="5" spans="1:15" s="693" customFormat="1" ht="35.25" customHeight="1" thickBot="1">
      <c r="A5" s="697" t="s">
        <v>235</v>
      </c>
      <c r="B5" s="698" t="s">
        <v>3</v>
      </c>
      <c r="C5" s="699" t="s">
        <v>380</v>
      </c>
      <c r="D5" s="699" t="s">
        <v>381</v>
      </c>
      <c r="E5" s="699" t="s">
        <v>382</v>
      </c>
      <c r="F5" s="699" t="s">
        <v>383</v>
      </c>
      <c r="G5" s="699" t="s">
        <v>384</v>
      </c>
      <c r="H5" s="699" t="s">
        <v>385</v>
      </c>
      <c r="I5" s="699" t="s">
        <v>386</v>
      </c>
      <c r="J5" s="699" t="s">
        <v>387</v>
      </c>
      <c r="K5" s="699" t="s">
        <v>388</v>
      </c>
      <c r="L5" s="699" t="s">
        <v>389</v>
      </c>
      <c r="M5" s="699" t="s">
        <v>390</v>
      </c>
      <c r="N5" s="699" t="s">
        <v>391</v>
      </c>
      <c r="O5" s="700" t="s">
        <v>20</v>
      </c>
    </row>
    <row r="6" spans="1:15" s="702" customFormat="1" ht="15" customHeight="1" thickBot="1">
      <c r="A6" s="701" t="s">
        <v>26</v>
      </c>
      <c r="B6" s="1493" t="s">
        <v>105</v>
      </c>
      <c r="C6" s="1494"/>
      <c r="D6" s="1494"/>
      <c r="E6" s="1494"/>
      <c r="F6" s="1494"/>
      <c r="G6" s="1494"/>
      <c r="H6" s="1494"/>
      <c r="I6" s="1494"/>
      <c r="J6" s="1494"/>
      <c r="K6" s="1494"/>
      <c r="L6" s="1494"/>
      <c r="M6" s="1494"/>
      <c r="N6" s="1494"/>
      <c r="O6" s="1495"/>
    </row>
    <row r="7" spans="1:15" s="702" customFormat="1" ht="15" customHeight="1">
      <c r="A7" s="703" t="s">
        <v>27</v>
      </c>
      <c r="B7" s="704" t="s">
        <v>392</v>
      </c>
      <c r="C7" s="705">
        <f>+'1.sz.m-önk.össze.bev'!F17</f>
        <v>468365</v>
      </c>
      <c r="D7" s="705"/>
      <c r="E7" s="705">
        <v>102880000</v>
      </c>
      <c r="F7" s="705"/>
      <c r="G7" s="705"/>
      <c r="H7" s="705"/>
      <c r="I7" s="705"/>
      <c r="J7" s="705"/>
      <c r="K7" s="705">
        <f>102880000+4597405</f>
        <v>107477405</v>
      </c>
      <c r="L7" s="705"/>
      <c r="M7" s="705"/>
      <c r="N7" s="705"/>
      <c r="O7" s="706">
        <f aca="true" t="shared" si="0" ref="O7:O13">SUM(C7:N7)</f>
        <v>210825770</v>
      </c>
    </row>
    <row r="8" spans="1:19" s="711" customFormat="1" ht="13.5" customHeight="1">
      <c r="A8" s="707" t="s">
        <v>9</v>
      </c>
      <c r="B8" s="708" t="s">
        <v>393</v>
      </c>
      <c r="C8" s="709">
        <f>6185082-1939274</f>
        <v>4245808</v>
      </c>
      <c r="D8" s="709">
        <f>6185082-1939274</f>
        <v>4245808</v>
      </c>
      <c r="E8" s="709">
        <f>6185082-1939274</f>
        <v>4245808</v>
      </c>
      <c r="F8" s="709">
        <f>6185082-1939274</f>
        <v>4245808</v>
      </c>
      <c r="G8" s="709">
        <f>6185082-1939274</f>
        <v>4245808</v>
      </c>
      <c r="H8" s="709">
        <f>6185082-1939274+5</f>
        <v>4245813</v>
      </c>
      <c r="I8" s="709">
        <v>6185083</v>
      </c>
      <c r="J8" s="709">
        <v>6185083</v>
      </c>
      <c r="K8" s="709">
        <f>6185082-4398004</f>
        <v>1787078</v>
      </c>
      <c r="L8" s="709">
        <f>6185083-3000000</f>
        <v>3185083</v>
      </c>
      <c r="M8" s="709">
        <f>6185083-3000000</f>
        <v>3185083</v>
      </c>
      <c r="N8" s="709">
        <f>6185082-2504862+450000</f>
        <v>4130220</v>
      </c>
      <c r="O8" s="710">
        <f t="shared" si="0"/>
        <v>50132483</v>
      </c>
      <c r="Q8" s="702"/>
      <c r="S8" s="702"/>
    </row>
    <row r="9" spans="1:19" s="711" customFormat="1" ht="27" customHeight="1">
      <c r="A9" s="707" t="s">
        <v>10</v>
      </c>
      <c r="B9" s="712" t="s">
        <v>454</v>
      </c>
      <c r="C9" s="713">
        <f>27174448+1977508</f>
        <v>29151956</v>
      </c>
      <c r="D9" s="713">
        <f>27174448+1977508</f>
        <v>29151956</v>
      </c>
      <c r="E9" s="713">
        <f>27174448+1977508</f>
        <v>29151956</v>
      </c>
      <c r="F9" s="713">
        <f>27174448+1977509</f>
        <v>29151957</v>
      </c>
      <c r="G9" s="713">
        <f>27174448+1977509</f>
        <v>29151957</v>
      </c>
      <c r="H9" s="713">
        <f>27174448+1977509</f>
        <v>29151957</v>
      </c>
      <c r="I9" s="713">
        <v>27174448</v>
      </c>
      <c r="J9" s="713">
        <v>27174448</v>
      </c>
      <c r="K9" s="713">
        <f>27174448+18971276</f>
        <v>46145724</v>
      </c>
      <c r="L9" s="713">
        <f>27174448+2000000</f>
        <v>29174448</v>
      </c>
      <c r="M9" s="713">
        <f>27174448+2000000</f>
        <v>29174448</v>
      </c>
      <c r="N9" s="713">
        <f>27174448+2230522</f>
        <v>29404970</v>
      </c>
      <c r="O9" s="710">
        <f t="shared" si="0"/>
        <v>363160225</v>
      </c>
      <c r="Q9" s="702"/>
      <c r="S9" s="702"/>
    </row>
    <row r="10" spans="1:19" s="711" customFormat="1" ht="21.75" customHeight="1">
      <c r="A10" s="707" t="s">
        <v>11</v>
      </c>
      <c r="B10" s="712" t="s">
        <v>394</v>
      </c>
      <c r="C10" s="713"/>
      <c r="D10" s="713">
        <v>1074492</v>
      </c>
      <c r="E10" s="713"/>
      <c r="F10" s="713"/>
      <c r="G10" s="713"/>
      <c r="H10" s="713"/>
      <c r="I10" s="713">
        <v>2442391</v>
      </c>
      <c r="J10" s="713">
        <v>4999990</v>
      </c>
      <c r="K10" s="713"/>
      <c r="L10" s="713"/>
      <c r="M10" s="713"/>
      <c r="N10" s="713">
        <v>37887466</v>
      </c>
      <c r="O10" s="710">
        <f t="shared" si="0"/>
        <v>46404339</v>
      </c>
      <c r="Q10" s="702"/>
      <c r="S10" s="702"/>
    </row>
    <row r="11" spans="1:17" s="711" customFormat="1" ht="23.25" customHeight="1">
      <c r="A11" s="707" t="s">
        <v>11</v>
      </c>
      <c r="B11" s="708" t="s">
        <v>395</v>
      </c>
      <c r="C11" s="709"/>
      <c r="D11" s="709">
        <v>300000</v>
      </c>
      <c r="E11" s="709">
        <v>15000</v>
      </c>
      <c r="F11" s="709"/>
      <c r="G11" s="709"/>
      <c r="H11" s="709">
        <v>15000</v>
      </c>
      <c r="I11" s="709"/>
      <c r="J11" s="709"/>
      <c r="K11" s="709">
        <v>15000</v>
      </c>
      <c r="L11" s="709"/>
      <c r="M11" s="709"/>
      <c r="N11" s="709">
        <v>15000</v>
      </c>
      <c r="O11" s="710">
        <f t="shared" si="0"/>
        <v>360000</v>
      </c>
      <c r="Q11" s="702"/>
    </row>
    <row r="12" spans="1:17" s="711" customFormat="1" ht="23.25" customHeight="1">
      <c r="A12" s="707" t="s">
        <v>12</v>
      </c>
      <c r="B12" s="708" t="s">
        <v>396</v>
      </c>
      <c r="C12" s="709"/>
      <c r="D12" s="709">
        <v>600000</v>
      </c>
      <c r="E12" s="709"/>
      <c r="F12" s="709"/>
      <c r="G12" s="709"/>
      <c r="H12" s="709"/>
      <c r="I12" s="709"/>
      <c r="J12" s="709"/>
      <c r="K12" s="709"/>
      <c r="L12" s="709"/>
      <c r="M12" s="709"/>
      <c r="N12" s="709">
        <v>664300</v>
      </c>
      <c r="O12" s="710">
        <f t="shared" si="0"/>
        <v>1264300</v>
      </c>
      <c r="Q12" s="702"/>
    </row>
    <row r="13" spans="1:17" s="711" customFormat="1" ht="23.25" customHeight="1" thickBot="1">
      <c r="A13" s="707" t="s">
        <v>13</v>
      </c>
      <c r="B13" s="708" t="s">
        <v>397</v>
      </c>
      <c r="C13" s="709">
        <f>+'1.sz.m-önk.össze.bev'!H62</f>
        <v>306456765</v>
      </c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>
        <f>+'1.sz.m-önk.össze.bev'!H60</f>
        <v>13999235</v>
      </c>
      <c r="O13" s="710">
        <f t="shared" si="0"/>
        <v>320456000</v>
      </c>
      <c r="Q13" s="702"/>
    </row>
    <row r="14" spans="1:15" s="702" customFormat="1" ht="15.75" customHeight="1" thickBot="1">
      <c r="A14" s="707" t="s">
        <v>54</v>
      </c>
      <c r="B14" s="714" t="s">
        <v>398</v>
      </c>
      <c r="C14" s="715">
        <f aca="true" t="shared" si="1" ref="C14:O14">SUM(C7:C13)</f>
        <v>340322894</v>
      </c>
      <c r="D14" s="715">
        <f t="shared" si="1"/>
        <v>35372256</v>
      </c>
      <c r="E14" s="715">
        <f t="shared" si="1"/>
        <v>136292764</v>
      </c>
      <c r="F14" s="715">
        <f t="shared" si="1"/>
        <v>33397765</v>
      </c>
      <c r="G14" s="715">
        <f t="shared" si="1"/>
        <v>33397765</v>
      </c>
      <c r="H14" s="715">
        <f t="shared" si="1"/>
        <v>33412770</v>
      </c>
      <c r="I14" s="715">
        <f t="shared" si="1"/>
        <v>35801922</v>
      </c>
      <c r="J14" s="715">
        <f t="shared" si="1"/>
        <v>38359521</v>
      </c>
      <c r="K14" s="715">
        <f t="shared" si="1"/>
        <v>155425207</v>
      </c>
      <c r="L14" s="715">
        <f t="shared" si="1"/>
        <v>32359531</v>
      </c>
      <c r="M14" s="715">
        <f t="shared" si="1"/>
        <v>32359531</v>
      </c>
      <c r="N14" s="715">
        <f t="shared" si="1"/>
        <v>86101191</v>
      </c>
      <c r="O14" s="716">
        <f t="shared" si="1"/>
        <v>992603117</v>
      </c>
    </row>
    <row r="15" spans="1:15" s="702" customFormat="1" ht="15" customHeight="1" thickBot="1">
      <c r="A15" s="707" t="s">
        <v>55</v>
      </c>
      <c r="B15" s="1493" t="s">
        <v>132</v>
      </c>
      <c r="C15" s="1494"/>
      <c r="D15" s="1494"/>
      <c r="E15" s="1494"/>
      <c r="F15" s="1494"/>
      <c r="G15" s="1494"/>
      <c r="H15" s="1494"/>
      <c r="I15" s="1494"/>
      <c r="J15" s="1494"/>
      <c r="K15" s="1494"/>
      <c r="L15" s="1494"/>
      <c r="M15" s="1494"/>
      <c r="N15" s="1494"/>
      <c r="O15" s="1495"/>
    </row>
    <row r="16" spans="1:19" s="711" customFormat="1" ht="13.5" customHeight="1">
      <c r="A16" s="707" t="s">
        <v>379</v>
      </c>
      <c r="B16" s="712" t="s">
        <v>401</v>
      </c>
      <c r="C16" s="713">
        <v>46735488</v>
      </c>
      <c r="D16" s="713">
        <v>46735488</v>
      </c>
      <c r="E16" s="713">
        <v>46735489</v>
      </c>
      <c r="F16" s="713">
        <v>46735488</v>
      </c>
      <c r="G16" s="713">
        <v>46735488</v>
      </c>
      <c r="H16" s="713">
        <v>46735489</v>
      </c>
      <c r="I16" s="713">
        <f>46735488+8403958</f>
        <v>55139446</v>
      </c>
      <c r="J16" s="713">
        <v>46735488</v>
      </c>
      <c r="K16" s="713">
        <f>46735489-2978945</f>
        <v>43756544</v>
      </c>
      <c r="L16" s="713">
        <v>46735488</v>
      </c>
      <c r="M16" s="713">
        <v>46735488</v>
      </c>
      <c r="N16" s="713">
        <f>46735489+113220661</f>
        <v>159956150</v>
      </c>
      <c r="O16" s="717">
        <f>SUM(C16:N16)</f>
        <v>679471534</v>
      </c>
      <c r="Q16" s="702"/>
      <c r="S16" s="702"/>
    </row>
    <row r="17" spans="1:17" s="711" customFormat="1" ht="27" customHeight="1">
      <c r="A17" s="707" t="s">
        <v>399</v>
      </c>
      <c r="B17" s="708" t="s">
        <v>403</v>
      </c>
      <c r="C17" s="709"/>
      <c r="D17" s="709"/>
      <c r="E17" s="709">
        <f>+'6.a.sz.m.fejlesztés (4)'!D33+'6.a.sz.m.fejlesztés (4)'!D9+'6.a.sz.m.fejlesztés (4)'!D32</f>
        <v>28582519</v>
      </c>
      <c r="F17" s="709"/>
      <c r="G17" s="709">
        <v>6000000</v>
      </c>
      <c r="H17" s="709">
        <f>+'6.a.sz.m.fejlesztés (4)'!D5+'6.a.sz.m.fejlesztés (4)'!D6+'6.a.sz.m.fejlesztés (4)'!D7</f>
        <v>5200000</v>
      </c>
      <c r="I17" s="709">
        <f>+'6.a.sz.m.fejlesztés (4)'!D31</f>
        <v>5713499</v>
      </c>
      <c r="J17" s="709">
        <f>+'6.a.sz.m.fejlesztés (4)'!D30-13260427</f>
        <v>60720973</v>
      </c>
      <c r="K17" s="709">
        <f>+'6.b.sz.m.intfejl (2)'!E33</f>
        <v>2984299.64</v>
      </c>
      <c r="L17" s="709">
        <f>+'6.a.sz.m.fejlesztés (4)'!D10</f>
        <v>45000000</v>
      </c>
      <c r="M17" s="709">
        <f>+'6.a.sz.m.fejlesztés (4)'!D29</f>
        <v>88570024</v>
      </c>
      <c r="N17" s="709">
        <f>+'6.a.sz.m.fejlesztés (4)'!D8+9984729+39462893</f>
        <v>59447622</v>
      </c>
      <c r="O17" s="710">
        <f>SUM(C17:N17)</f>
        <v>302218936.64</v>
      </c>
      <c r="Q17" s="702"/>
    </row>
    <row r="18" spans="1:19" s="711" customFormat="1" ht="13.5" customHeight="1">
      <c r="A18" s="707" t="s">
        <v>400</v>
      </c>
      <c r="B18" s="708" t="s">
        <v>405</v>
      </c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09"/>
      <c r="N18" s="709">
        <f>+'1 .sz.m.önk.össz.kiad.'!H25</f>
        <v>0</v>
      </c>
      <c r="O18" s="710">
        <f>SUM(C18:N18)</f>
        <v>0</v>
      </c>
      <c r="S18" s="702"/>
    </row>
    <row r="19" spans="1:15" s="711" customFormat="1" ht="13.5" customHeight="1" thickBot="1">
      <c r="A19" s="707" t="s">
        <v>402</v>
      </c>
      <c r="B19" s="708" t="s">
        <v>407</v>
      </c>
      <c r="C19" s="709">
        <f>+'1 .sz.m.önk.össz.kiad.'!E33</f>
        <v>10912646</v>
      </c>
      <c r="D19" s="709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10">
        <f>SUM(C19:N19)</f>
        <v>10912646</v>
      </c>
    </row>
    <row r="20" spans="1:15" s="702" customFormat="1" ht="15.75" customHeight="1" thickBot="1">
      <c r="A20" s="707" t="s">
        <v>404</v>
      </c>
      <c r="B20" s="714" t="s">
        <v>408</v>
      </c>
      <c r="C20" s="715">
        <f aca="true" t="shared" si="2" ref="C20:O20">SUM(C16:C19)</f>
        <v>57648134</v>
      </c>
      <c r="D20" s="715">
        <f t="shared" si="2"/>
        <v>46735488</v>
      </c>
      <c r="E20" s="715">
        <f t="shared" si="2"/>
        <v>75318008</v>
      </c>
      <c r="F20" s="715">
        <f t="shared" si="2"/>
        <v>46735488</v>
      </c>
      <c r="G20" s="715">
        <f t="shared" si="2"/>
        <v>52735488</v>
      </c>
      <c r="H20" s="715">
        <f t="shared" si="2"/>
        <v>51935489</v>
      </c>
      <c r="I20" s="715">
        <f t="shared" si="2"/>
        <v>60852945</v>
      </c>
      <c r="J20" s="715">
        <f t="shared" si="2"/>
        <v>107456461</v>
      </c>
      <c r="K20" s="715">
        <f t="shared" si="2"/>
        <v>46740843.64</v>
      </c>
      <c r="L20" s="715">
        <f t="shared" si="2"/>
        <v>91735488</v>
      </c>
      <c r="M20" s="715">
        <f t="shared" si="2"/>
        <v>135305512</v>
      </c>
      <c r="N20" s="715">
        <f t="shared" si="2"/>
        <v>219403772</v>
      </c>
      <c r="O20" s="716">
        <f t="shared" si="2"/>
        <v>992603116.64</v>
      </c>
    </row>
    <row r="21" spans="1:15" ht="16.5" thickBot="1">
      <c r="A21" s="707" t="s">
        <v>406</v>
      </c>
      <c r="B21" s="718" t="s">
        <v>409</v>
      </c>
      <c r="C21" s="719">
        <f>C14-C20</f>
        <v>282674760</v>
      </c>
      <c r="D21" s="719">
        <f>C14+D14-C20-D20</f>
        <v>271311528</v>
      </c>
      <c r="E21" s="719">
        <f>C14+D14+E14-C20-D20-E20</f>
        <v>332286284</v>
      </c>
      <c r="F21" s="719">
        <f>C14+D14+E14+F14-C20-D20-E20-F20</f>
        <v>318948561</v>
      </c>
      <c r="G21" s="719">
        <f>(SUM(C14:G14))-(SUM(C20:G20))</f>
        <v>299610838</v>
      </c>
      <c r="H21" s="719">
        <f>(SUM(C14:H14))-(SUM(C20:H20))</f>
        <v>281088119</v>
      </c>
      <c r="I21" s="719">
        <f>(SUM(C14:I14))-(SUM(C20:I20))</f>
        <v>256037096</v>
      </c>
      <c r="J21" s="719">
        <f>(SUM(C14:J14))-(SUM(C20:J20))</f>
        <v>186940156</v>
      </c>
      <c r="K21" s="719">
        <f>(SUM(C14:K14))-(SUM(C20:K20))</f>
        <v>295624519.36</v>
      </c>
      <c r="L21" s="719">
        <f>(SUM(C14:L14))-(SUM(C20:L20))</f>
        <v>236248562.36</v>
      </c>
      <c r="M21" s="719">
        <f>(SUM(C14:M14))-(SUM(C20:M20))</f>
        <v>133302581.36000001</v>
      </c>
      <c r="N21" s="719">
        <f>(SUM(C14:N14))-(SUM(C20:N20))</f>
        <v>0.36000001430511475</v>
      </c>
      <c r="O21" s="720">
        <f>O14-O20</f>
        <v>0.36000001430511475</v>
      </c>
    </row>
    <row r="22" ht="15.75">
      <c r="A22" s="721"/>
    </row>
    <row r="23" spans="2:4" ht="15.75">
      <c r="B23" s="722"/>
      <c r="C23" s="723"/>
      <c r="D23" s="723"/>
    </row>
  </sheetData>
  <sheetProtection/>
  <mergeCells count="4">
    <mergeCell ref="A3:O3"/>
    <mergeCell ref="B6:O6"/>
    <mergeCell ref="B15:O15"/>
    <mergeCell ref="G1:O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9.421875" style="486" customWidth="1"/>
    <col min="2" max="2" width="15.7109375" style="486" customWidth="1"/>
    <col min="3" max="3" width="13.140625" style="486" customWidth="1"/>
    <col min="4" max="4" width="13.28125" style="486" customWidth="1"/>
    <col min="5" max="5" width="14.7109375" style="486" customWidth="1"/>
    <col min="6" max="6" width="15.57421875" style="486" hidden="1" customWidth="1"/>
    <col min="7" max="7" width="16.00390625" style="486" hidden="1" customWidth="1"/>
    <col min="8" max="10" width="9.140625" style="486" hidden="1" customWidth="1"/>
    <col min="11" max="11" width="10.00390625" style="486" bestFit="1" customWidth="1"/>
    <col min="12" max="13" width="10.8515625" style="486" bestFit="1" customWidth="1"/>
    <col min="14" max="16384" width="9.140625" style="486" customWidth="1"/>
  </cols>
  <sheetData>
    <row r="1" spans="1:7" ht="21" customHeight="1">
      <c r="A1" s="1506" t="s">
        <v>535</v>
      </c>
      <c r="B1" s="1506"/>
      <c r="C1" s="1506"/>
      <c r="D1" s="1506"/>
      <c r="E1" s="1506"/>
      <c r="F1" s="1506"/>
      <c r="G1" s="1506"/>
    </row>
    <row r="2" spans="1:7" ht="21" customHeight="1">
      <c r="A2" s="1133"/>
      <c r="B2" s="1133"/>
      <c r="C2" s="1133"/>
      <c r="D2" s="1133"/>
      <c r="E2" s="1133" t="s">
        <v>662</v>
      </c>
      <c r="F2" s="1133"/>
      <c r="G2" s="1133"/>
    </row>
    <row r="3" spans="1:7" s="487" customFormat="1" ht="51.75" customHeight="1">
      <c r="A3" s="1505" t="s">
        <v>566</v>
      </c>
      <c r="B3" s="1505"/>
      <c r="C3" s="1505"/>
      <c r="D3" s="1505"/>
      <c r="E3" s="1505"/>
      <c r="F3" s="1505"/>
      <c r="G3" s="1505"/>
    </row>
    <row r="4" spans="1:7" ht="15.75" customHeight="1" thickBot="1">
      <c r="A4" s="488"/>
      <c r="B4" s="1507" t="s">
        <v>425</v>
      </c>
      <c r="C4" s="1507"/>
      <c r="D4" s="1507"/>
      <c r="E4" s="1507"/>
      <c r="F4" s="1507"/>
      <c r="G4" s="1507"/>
    </row>
    <row r="5" spans="1:10" s="490" customFormat="1" ht="24" customHeight="1" thickBot="1">
      <c r="A5" s="489" t="s">
        <v>238</v>
      </c>
      <c r="B5" s="508" t="s">
        <v>239</v>
      </c>
      <c r="C5" s="508" t="s">
        <v>214</v>
      </c>
      <c r="D5" s="508" t="s">
        <v>219</v>
      </c>
      <c r="E5" s="508" t="s">
        <v>221</v>
      </c>
      <c r="F5" s="508" t="s">
        <v>415</v>
      </c>
      <c r="G5" s="508" t="s">
        <v>419</v>
      </c>
      <c r="H5" s="508" t="s">
        <v>415</v>
      </c>
      <c r="I5" s="508" t="s">
        <v>419</v>
      </c>
      <c r="J5" s="508" t="s">
        <v>414</v>
      </c>
    </row>
    <row r="6" spans="1:10" s="492" customFormat="1" ht="21" customHeight="1">
      <c r="A6" s="491" t="s">
        <v>240</v>
      </c>
      <c r="B6" s="509">
        <v>90970859</v>
      </c>
      <c r="C6" s="509">
        <v>90970859</v>
      </c>
      <c r="D6" s="509">
        <v>90970859</v>
      </c>
      <c r="E6" s="509">
        <v>90970859</v>
      </c>
      <c r="F6" s="509">
        <v>69459609</v>
      </c>
      <c r="G6" s="509"/>
      <c r="H6" s="509"/>
      <c r="I6" s="509"/>
      <c r="J6" s="745" t="e">
        <f>H6/G6</f>
        <v>#DIV/0!</v>
      </c>
    </row>
    <row r="7" spans="1:10" s="492" customFormat="1" ht="21" customHeight="1">
      <c r="A7" s="493" t="s">
        <v>241</v>
      </c>
      <c r="B7" s="510">
        <v>0</v>
      </c>
      <c r="C7" s="510">
        <v>0</v>
      </c>
      <c r="D7" s="510">
        <v>0</v>
      </c>
      <c r="E7" s="510">
        <v>0</v>
      </c>
      <c r="F7" s="510">
        <v>0</v>
      </c>
      <c r="G7" s="510"/>
      <c r="H7" s="510">
        <v>0</v>
      </c>
      <c r="I7" s="510">
        <v>0</v>
      </c>
      <c r="J7" s="1497"/>
    </row>
    <row r="8" spans="1:10" s="492" customFormat="1" ht="21" customHeight="1">
      <c r="A8" s="493" t="s">
        <v>242</v>
      </c>
      <c r="B8" s="510">
        <v>0</v>
      </c>
      <c r="C8" s="510">
        <v>0</v>
      </c>
      <c r="D8" s="510">
        <v>0</v>
      </c>
      <c r="E8" s="510">
        <v>0</v>
      </c>
      <c r="F8" s="510">
        <v>0</v>
      </c>
      <c r="G8" s="510"/>
      <c r="H8" s="510">
        <v>0</v>
      </c>
      <c r="I8" s="510">
        <v>0</v>
      </c>
      <c r="J8" s="1498"/>
    </row>
    <row r="9" spans="1:10" s="492" customFormat="1" ht="21" customHeight="1">
      <c r="A9" s="493" t="s">
        <v>243</v>
      </c>
      <c r="B9" s="510">
        <v>0</v>
      </c>
      <c r="C9" s="510">
        <v>0</v>
      </c>
      <c r="D9" s="510">
        <v>0</v>
      </c>
      <c r="E9" s="510">
        <v>0</v>
      </c>
      <c r="F9" s="510">
        <v>0</v>
      </c>
      <c r="G9" s="510"/>
      <c r="H9" s="510">
        <v>0</v>
      </c>
      <c r="I9" s="510">
        <v>0</v>
      </c>
      <c r="J9" s="1498"/>
    </row>
    <row r="10" spans="1:10" s="492" customFormat="1" ht="21" customHeight="1">
      <c r="A10" s="494" t="s">
        <v>244</v>
      </c>
      <c r="B10" s="510">
        <v>0</v>
      </c>
      <c r="C10" s="510">
        <v>0</v>
      </c>
      <c r="D10" s="510">
        <v>0</v>
      </c>
      <c r="E10" s="510">
        <v>0</v>
      </c>
      <c r="F10" s="510">
        <v>0</v>
      </c>
      <c r="G10" s="510"/>
      <c r="H10" s="510">
        <v>0</v>
      </c>
      <c r="I10" s="510">
        <v>0</v>
      </c>
      <c r="J10" s="1498"/>
    </row>
    <row r="11" spans="1:10" s="492" customFormat="1" ht="21" customHeight="1">
      <c r="A11" s="491" t="s">
        <v>245</v>
      </c>
      <c r="B11" s="511">
        <f>SUM(B7:B10)</f>
        <v>0</v>
      </c>
      <c r="C11" s="511">
        <f>SUM(C7:C10)</f>
        <v>0</v>
      </c>
      <c r="D11" s="511">
        <f>SUM(D7:D10)</f>
        <v>0</v>
      </c>
      <c r="E11" s="511">
        <f>SUM(E7:E10)</f>
        <v>0</v>
      </c>
      <c r="F11" s="511">
        <f>SUM(F7:F10)</f>
        <v>0</v>
      </c>
      <c r="G11" s="511"/>
      <c r="H11" s="511">
        <f>SUM(H7:H10)</f>
        <v>0</v>
      </c>
      <c r="I11" s="511">
        <f>SUM(I7:I10)</f>
        <v>0</v>
      </c>
      <c r="J11" s="1498"/>
    </row>
    <row r="12" spans="1:10" s="492" customFormat="1" ht="21" customHeight="1" hidden="1">
      <c r="A12" s="495" t="s">
        <v>246</v>
      </c>
      <c r="B12" s="511"/>
      <c r="C12" s="511"/>
      <c r="D12" s="511"/>
      <c r="E12" s="511"/>
      <c r="F12" s="511"/>
      <c r="G12" s="511"/>
      <c r="H12" s="511"/>
      <c r="I12" s="511"/>
      <c r="J12" s="1498"/>
    </row>
    <row r="13" spans="1:10" s="492" customFormat="1" ht="21" customHeight="1">
      <c r="A13" s="491" t="s">
        <v>323</v>
      </c>
      <c r="B13" s="511">
        <v>0</v>
      </c>
      <c r="C13" s="511">
        <v>0</v>
      </c>
      <c r="D13" s="511">
        <v>0</v>
      </c>
      <c r="E13" s="511">
        <v>0</v>
      </c>
      <c r="F13" s="511">
        <v>0</v>
      </c>
      <c r="G13" s="511"/>
      <c r="H13" s="511">
        <v>0</v>
      </c>
      <c r="I13" s="511">
        <v>0</v>
      </c>
      <c r="J13" s="1498"/>
    </row>
    <row r="14" spans="1:10" s="492" customFormat="1" ht="21" customHeight="1" hidden="1" thickBot="1">
      <c r="A14" s="491" t="s">
        <v>249</v>
      </c>
      <c r="B14" s="542">
        <v>0</v>
      </c>
      <c r="C14" s="542">
        <v>0</v>
      </c>
      <c r="D14" s="542">
        <v>0</v>
      </c>
      <c r="E14" s="542">
        <v>0</v>
      </c>
      <c r="F14" s="542">
        <v>0</v>
      </c>
      <c r="G14" s="542"/>
      <c r="H14" s="542">
        <v>0</v>
      </c>
      <c r="I14" s="542">
        <v>0</v>
      </c>
      <c r="J14" s="1499"/>
    </row>
    <row r="15" spans="1:10" s="492" customFormat="1" ht="21" customHeight="1" thickBot="1">
      <c r="A15" s="767" t="s">
        <v>603</v>
      </c>
      <c r="B15" s="733"/>
      <c r="C15" s="733"/>
      <c r="D15" s="733">
        <v>507709</v>
      </c>
      <c r="E15" s="733">
        <f>507709</f>
        <v>507709</v>
      </c>
      <c r="F15" s="733">
        <v>569468</v>
      </c>
      <c r="G15" s="733"/>
      <c r="H15" s="733"/>
      <c r="I15" s="733"/>
      <c r="J15" s="746" t="e">
        <f>H15/G15</f>
        <v>#DIV/0!</v>
      </c>
    </row>
    <row r="16" spans="1:14" s="498" customFormat="1" ht="24.75" customHeight="1" thickBot="1">
      <c r="A16" s="497" t="s">
        <v>550</v>
      </c>
      <c r="B16" s="512">
        <f>B6+B11-B12+B13+B14+B15</f>
        <v>90970859</v>
      </c>
      <c r="C16" s="512">
        <f>C6+C11-C12+C13+C14+C15</f>
        <v>90970859</v>
      </c>
      <c r="D16" s="512">
        <f>D6+D11-D12+D13+D14+D15</f>
        <v>91478568</v>
      </c>
      <c r="E16" s="512">
        <f>E6+E11-E12+E13+E14+E15</f>
        <v>91478568</v>
      </c>
      <c r="F16" s="512">
        <f>F6+F11-F12+F13+F14+F15</f>
        <v>70029077</v>
      </c>
      <c r="G16" s="512"/>
      <c r="H16" s="512">
        <f>H6+H11-H12+H13+H14+H15</f>
        <v>0</v>
      </c>
      <c r="I16" s="512">
        <f>I6+I11-I12+I13+I14+I15</f>
        <v>0</v>
      </c>
      <c r="J16" s="747" t="e">
        <f>H16/G16</f>
        <v>#DIV/0!</v>
      </c>
      <c r="L16" s="947"/>
      <c r="M16" s="947"/>
      <c r="N16" s="947"/>
    </row>
    <row r="17" spans="1:14" ht="24.75" customHeight="1">
      <c r="A17" s="499" t="s">
        <v>583</v>
      </c>
      <c r="B17" s="509">
        <f>29289050+9600000+2380200</f>
        <v>41269250</v>
      </c>
      <c r="C17" s="509">
        <f>29289050+9600000+2380200</f>
        <v>41269250</v>
      </c>
      <c r="D17" s="509">
        <f>29289050+9600000+2380200-158680</f>
        <v>41110570</v>
      </c>
      <c r="E17" s="509">
        <f>29289050+9600000+2380200-158680+874300+39670</f>
        <v>42024540</v>
      </c>
      <c r="F17" s="509">
        <f>18177593+4800000+8939800+2400000+229200+418900+800727+767984-297993+133454</f>
        <v>36369665</v>
      </c>
      <c r="G17" s="509"/>
      <c r="H17" s="509"/>
      <c r="I17" s="509"/>
      <c r="J17" s="1500"/>
      <c r="M17" s="772"/>
      <c r="N17" s="947"/>
    </row>
    <row r="18" spans="1:10" ht="24.75" customHeight="1" thickBot="1">
      <c r="A18" s="495" t="s">
        <v>247</v>
      </c>
      <c r="B18" s="511">
        <v>6720600</v>
      </c>
      <c r="C18" s="511">
        <v>6720600</v>
      </c>
      <c r="D18" s="511">
        <v>6720600</v>
      </c>
      <c r="E18" s="511">
        <f>6720600+165580</f>
        <v>6886180</v>
      </c>
      <c r="F18" s="511">
        <f>3431400+1688467-27234</f>
        <v>5092633</v>
      </c>
      <c r="G18" s="511"/>
      <c r="H18" s="511"/>
      <c r="I18" s="511"/>
      <c r="J18" s="1501"/>
    </row>
    <row r="19" spans="1:10" ht="24.75" customHeight="1" thickBot="1">
      <c r="A19" s="1110" t="s">
        <v>604</v>
      </c>
      <c r="B19" s="1111"/>
      <c r="C19" s="1111"/>
      <c r="D19" s="1111">
        <v>3478750</v>
      </c>
      <c r="E19" s="1111">
        <v>3478750</v>
      </c>
      <c r="F19" s="1111"/>
      <c r="G19" s="1111"/>
      <c r="H19" s="1111"/>
      <c r="I19" s="1111"/>
      <c r="J19" s="1109"/>
    </row>
    <row r="20" spans="1:12" s="498" customFormat="1" ht="24.75" customHeight="1" thickBot="1">
      <c r="A20" s="500" t="s">
        <v>324</v>
      </c>
      <c r="B20" s="513">
        <f>SUM(B17:B18)</f>
        <v>47989850</v>
      </c>
      <c r="C20" s="513">
        <f>SUM(C17:C18)</f>
        <v>47989850</v>
      </c>
      <c r="D20" s="513">
        <f>SUM(D17:D19)</f>
        <v>51309920</v>
      </c>
      <c r="E20" s="513">
        <f>SUM(E17:E19)</f>
        <v>52389470</v>
      </c>
      <c r="F20" s="513">
        <f>SUM(F17:F18)</f>
        <v>41462298</v>
      </c>
      <c r="G20" s="513"/>
      <c r="H20" s="513">
        <f>SUM(H17:H18)</f>
        <v>0</v>
      </c>
      <c r="I20" s="513">
        <f>SUM(I17:I18)</f>
        <v>0</v>
      </c>
      <c r="J20" s="748" t="e">
        <f>H20/G20</f>
        <v>#DIV/0!</v>
      </c>
      <c r="L20" s="947"/>
    </row>
    <row r="21" spans="1:10" ht="24.75" customHeight="1" hidden="1">
      <c r="A21" s="501" t="s">
        <v>248</v>
      </c>
      <c r="B21" s="514">
        <v>0</v>
      </c>
      <c r="C21" s="514">
        <v>0</v>
      </c>
      <c r="D21" s="514">
        <v>0</v>
      </c>
      <c r="E21" s="514">
        <v>0</v>
      </c>
      <c r="F21" s="514">
        <v>0</v>
      </c>
      <c r="G21" s="514"/>
      <c r="H21" s="514"/>
      <c r="I21" s="514"/>
      <c r="J21" s="1502"/>
    </row>
    <row r="22" spans="1:10" ht="24.75" customHeight="1">
      <c r="A22" s="493" t="s">
        <v>584</v>
      </c>
      <c r="B22" s="515">
        <v>22680000</v>
      </c>
      <c r="C22" s="515">
        <v>22680000</v>
      </c>
      <c r="D22" s="515">
        <v>22680000</v>
      </c>
      <c r="E22" s="515">
        <v>22680000</v>
      </c>
      <c r="F22" s="515">
        <v>18000000</v>
      </c>
      <c r="G22" s="515"/>
      <c r="H22" s="515"/>
      <c r="I22" s="515"/>
      <c r="J22" s="1503"/>
    </row>
    <row r="23" spans="1:10" ht="24.75" customHeight="1" hidden="1">
      <c r="A23" s="494" t="s">
        <v>250</v>
      </c>
      <c r="B23" s="515"/>
      <c r="C23" s="515"/>
      <c r="D23" s="515"/>
      <c r="E23" s="515"/>
      <c r="F23" s="515"/>
      <c r="G23" s="515"/>
      <c r="H23" s="515"/>
      <c r="I23" s="515"/>
      <c r="J23" s="1503"/>
    </row>
    <row r="24" spans="1:10" ht="24.75" customHeight="1">
      <c r="A24" s="493" t="s">
        <v>585</v>
      </c>
      <c r="B24" s="515">
        <v>16895560</v>
      </c>
      <c r="C24" s="515">
        <v>16895560</v>
      </c>
      <c r="D24" s="515">
        <f>16895560+359480</f>
        <v>17255040</v>
      </c>
      <c r="E24" s="515">
        <f>16895560+359480</f>
        <v>17255040</v>
      </c>
      <c r="F24" s="515">
        <f>-913440+17964320</f>
        <v>17050880</v>
      </c>
      <c r="G24" s="978"/>
      <c r="H24" s="515"/>
      <c r="I24" s="515"/>
      <c r="J24" s="1503"/>
    </row>
    <row r="25" spans="1:10" ht="24.75" customHeight="1">
      <c r="A25" s="493" t="s">
        <v>586</v>
      </c>
      <c r="B25" s="515">
        <v>150000</v>
      </c>
      <c r="C25" s="515">
        <v>150000</v>
      </c>
      <c r="D25" s="515">
        <f>150000+25000</f>
        <v>175000</v>
      </c>
      <c r="E25" s="515">
        <f>150000+25000</f>
        <v>175000</v>
      </c>
      <c r="F25" s="515">
        <v>2500000</v>
      </c>
      <c r="G25" s="515"/>
      <c r="H25" s="515"/>
      <c r="I25" s="515"/>
      <c r="J25" s="1503"/>
    </row>
    <row r="26" spans="1:10" ht="24.75" customHeight="1">
      <c r="A26" s="493" t="s">
        <v>587</v>
      </c>
      <c r="B26" s="515">
        <v>62634000</v>
      </c>
      <c r="C26" s="515">
        <v>62634000</v>
      </c>
      <c r="D26" s="515">
        <f>62634000-2574000</f>
        <v>60060000</v>
      </c>
      <c r="E26" s="515">
        <f>62634000-2574000-4290000</f>
        <v>55770000</v>
      </c>
      <c r="F26" s="515">
        <f>6690000+34125000</f>
        <v>40815000</v>
      </c>
      <c r="G26" s="515"/>
      <c r="H26" s="515"/>
      <c r="I26" s="515"/>
      <c r="J26" s="1503"/>
    </row>
    <row r="27" spans="1:10" ht="24.75" customHeight="1">
      <c r="A27" s="494" t="s">
        <v>588</v>
      </c>
      <c r="B27" s="515">
        <v>6370000</v>
      </c>
      <c r="C27" s="515">
        <v>6370000</v>
      </c>
      <c r="D27" s="515">
        <v>6370000</v>
      </c>
      <c r="E27" s="515">
        <v>6370000</v>
      </c>
      <c r="F27" s="515">
        <f>-1349400+7646600</f>
        <v>6297200</v>
      </c>
      <c r="G27" s="515"/>
      <c r="H27" s="515"/>
      <c r="I27" s="515"/>
      <c r="J27" s="1503"/>
    </row>
    <row r="28" spans="1:10" ht="24.75" customHeight="1">
      <c r="A28" s="494" t="s">
        <v>589</v>
      </c>
      <c r="B28" s="515">
        <v>2565000</v>
      </c>
      <c r="C28" s="515">
        <v>2565000</v>
      </c>
      <c r="D28" s="515">
        <v>2565000</v>
      </c>
      <c r="E28" s="515">
        <f>2565000-285000</f>
        <v>2280000</v>
      </c>
      <c r="F28" s="515">
        <v>2452500</v>
      </c>
      <c r="G28" s="515"/>
      <c r="H28" s="515"/>
      <c r="I28" s="515"/>
      <c r="J28" s="1503"/>
    </row>
    <row r="29" spans="1:10" ht="24.75" customHeight="1">
      <c r="A29" s="770" t="s">
        <v>475</v>
      </c>
      <c r="B29" s="515">
        <v>2000000</v>
      </c>
      <c r="C29" s="515">
        <v>2000000</v>
      </c>
      <c r="D29" s="515">
        <v>2000000</v>
      </c>
      <c r="E29" s="515">
        <v>2000000</v>
      </c>
      <c r="F29" s="515">
        <v>2000000</v>
      </c>
      <c r="G29" s="515"/>
      <c r="H29" s="515"/>
      <c r="I29" s="515"/>
      <c r="J29" s="1503"/>
    </row>
    <row r="30" spans="1:10" ht="32.25" customHeight="1">
      <c r="A30" s="771" t="s">
        <v>476</v>
      </c>
      <c r="B30" s="515">
        <v>7448000</v>
      </c>
      <c r="C30" s="515">
        <v>7448000</v>
      </c>
      <c r="D30" s="515">
        <f>7448000-784000</f>
        <v>6664000</v>
      </c>
      <c r="E30" s="515">
        <f>7448000-784000+392000</f>
        <v>7056000</v>
      </c>
      <c r="F30" s="515">
        <v>5400000</v>
      </c>
      <c r="G30" s="515"/>
      <c r="H30" s="515"/>
      <c r="I30" s="515"/>
      <c r="J30" s="1503"/>
    </row>
    <row r="31" spans="1:10" s="502" customFormat="1" ht="24.75" customHeight="1">
      <c r="A31" s="537" t="s">
        <v>606</v>
      </c>
      <c r="B31" s="538">
        <f>SUM(B22,B24:B30)</f>
        <v>120742560</v>
      </c>
      <c r="C31" s="538">
        <f>SUM(C22,C24:C30)</f>
        <v>120742560</v>
      </c>
      <c r="D31" s="538">
        <f>SUM(D22,D24:D30)</f>
        <v>117769040</v>
      </c>
      <c r="E31" s="538">
        <f>SUM(E22,E24:E30)</f>
        <v>113586040</v>
      </c>
      <c r="F31" s="538">
        <f>SUM(F22,F24:F30)</f>
        <v>94515580</v>
      </c>
      <c r="G31" s="538"/>
      <c r="H31" s="538">
        <f>SUM(H22,H24:H27)</f>
        <v>0</v>
      </c>
      <c r="I31" s="538">
        <f>SUM(I22,I24:I27)</f>
        <v>0</v>
      </c>
      <c r="J31" s="1503"/>
    </row>
    <row r="32" spans="1:10" s="502" customFormat="1" ht="24.75" customHeight="1" thickBot="1">
      <c r="A32" s="734" t="s">
        <v>605</v>
      </c>
      <c r="B32" s="735"/>
      <c r="C32" s="735"/>
      <c r="D32" s="735">
        <f>1920000+7672300</f>
        <v>9592300</v>
      </c>
      <c r="E32" s="735">
        <f>1920000+7672300</f>
        <v>9592300</v>
      </c>
      <c r="F32" s="538"/>
      <c r="G32" s="538"/>
      <c r="H32" s="538"/>
      <c r="I32" s="538"/>
      <c r="J32" s="1503"/>
    </row>
    <row r="33" spans="1:10" s="502" customFormat="1" ht="24.75" customHeight="1">
      <c r="A33" s="539" t="s">
        <v>327</v>
      </c>
      <c r="B33" s="515">
        <v>14652000</v>
      </c>
      <c r="C33" s="515">
        <v>14652000</v>
      </c>
      <c r="D33" s="515">
        <f>14652000-2024000</f>
        <v>12628000</v>
      </c>
      <c r="E33" s="515">
        <f>14652000-2024000+154000</f>
        <v>12782000</v>
      </c>
      <c r="F33" s="515">
        <v>10118400</v>
      </c>
      <c r="G33" s="515"/>
      <c r="H33" s="515"/>
      <c r="I33" s="515"/>
      <c r="J33" s="1503"/>
    </row>
    <row r="34" spans="1:10" s="502" customFormat="1" ht="24.75" customHeight="1">
      <c r="A34" s="539" t="s">
        <v>326</v>
      </c>
      <c r="B34" s="515">
        <v>4462799</v>
      </c>
      <c r="C34" s="515">
        <v>4462799</v>
      </c>
      <c r="D34" s="515">
        <f>4462799+348992</f>
        <v>4811791</v>
      </c>
      <c r="E34" s="515">
        <f>4462799+348992+52754</f>
        <v>4864545</v>
      </c>
      <c r="F34" s="515">
        <v>3783935</v>
      </c>
      <c r="G34" s="515"/>
      <c r="H34" s="515"/>
      <c r="I34" s="515"/>
      <c r="J34" s="1503"/>
    </row>
    <row r="35" spans="1:10" s="502" customFormat="1" ht="24.75" customHeight="1">
      <c r="A35" s="768" t="s">
        <v>428</v>
      </c>
      <c r="B35" s="769">
        <v>36480</v>
      </c>
      <c r="C35" s="769">
        <v>36480</v>
      </c>
      <c r="D35" s="769">
        <f>36480-1140</f>
        <v>35340</v>
      </c>
      <c r="E35" s="769">
        <f>36480-1140+30780</f>
        <v>66120</v>
      </c>
      <c r="F35" s="769">
        <f>-4560+143640</f>
        <v>139080</v>
      </c>
      <c r="G35" s="769"/>
      <c r="H35" s="769"/>
      <c r="I35" s="769"/>
      <c r="J35" s="1503"/>
    </row>
    <row r="36" spans="1:10" s="502" customFormat="1" ht="24.75" customHeight="1" thickBot="1">
      <c r="A36" s="540" t="s">
        <v>325</v>
      </c>
      <c r="B36" s="541">
        <f>SUM(B33:B35)</f>
        <v>19151279</v>
      </c>
      <c r="C36" s="541">
        <f>SUM(C33:C35)</f>
        <v>19151279</v>
      </c>
      <c r="D36" s="541">
        <f>SUM(D33:D35)</f>
        <v>17475131</v>
      </c>
      <c r="E36" s="541">
        <f>SUM(E33:E35)</f>
        <v>17712665</v>
      </c>
      <c r="F36" s="541">
        <f>SUM(F33:F35)</f>
        <v>14041415</v>
      </c>
      <c r="G36" s="541"/>
      <c r="H36" s="541">
        <f>SUM(H33:H34)</f>
        <v>0</v>
      </c>
      <c r="I36" s="541">
        <f>SUM(I33:I34)</f>
        <v>0</v>
      </c>
      <c r="J36" s="1503"/>
    </row>
    <row r="37" spans="1:10" s="502" customFormat="1" ht="24.75" customHeight="1" thickBot="1">
      <c r="A37" s="734" t="s">
        <v>611</v>
      </c>
      <c r="B37" s="735"/>
      <c r="C37" s="735"/>
      <c r="D37" s="735">
        <v>1010240</v>
      </c>
      <c r="E37" s="735">
        <v>1010240</v>
      </c>
      <c r="F37" s="735"/>
      <c r="G37" s="735"/>
      <c r="H37" s="735"/>
      <c r="I37" s="735"/>
      <c r="J37" s="1503"/>
    </row>
    <row r="38" spans="1:10" s="502" customFormat="1" ht="24.75" customHeight="1" thickBot="1">
      <c r="A38" s="734" t="s">
        <v>608</v>
      </c>
      <c r="B38" s="735">
        <v>8979000</v>
      </c>
      <c r="C38" s="735">
        <v>8979000</v>
      </c>
      <c r="D38" s="735">
        <v>8979000</v>
      </c>
      <c r="E38" s="735">
        <v>8979000</v>
      </c>
      <c r="F38" s="735">
        <f>2966139+1202088+1105977+4767278+1515184</f>
        <v>11556666</v>
      </c>
      <c r="G38" s="735"/>
      <c r="H38" s="735"/>
      <c r="I38" s="735"/>
      <c r="J38" s="1504"/>
    </row>
    <row r="39" spans="1:10" s="502" customFormat="1" ht="24.75" customHeight="1" thickBot="1">
      <c r="A39" s="734" t="s">
        <v>609</v>
      </c>
      <c r="B39" s="735">
        <v>3664000</v>
      </c>
      <c r="C39" s="735">
        <v>3664000</v>
      </c>
      <c r="D39" s="735">
        <v>3664000</v>
      </c>
      <c r="E39" s="735">
        <f>3664000-20000</f>
        <v>3644000</v>
      </c>
      <c r="F39" s="735"/>
      <c r="G39" s="735"/>
      <c r="H39" s="735"/>
      <c r="I39" s="735"/>
      <c r="J39" s="773"/>
    </row>
    <row r="40" spans="1:10" s="502" customFormat="1" ht="24.75" customHeight="1" thickBot="1">
      <c r="A40" s="734" t="s">
        <v>607</v>
      </c>
      <c r="B40" s="735"/>
      <c r="C40" s="735"/>
      <c r="D40" s="735">
        <f>345000+1458000</f>
        <v>1803000</v>
      </c>
      <c r="E40" s="735">
        <f>345000+1458000</f>
        <v>1803000</v>
      </c>
      <c r="F40" s="735"/>
      <c r="G40" s="735"/>
      <c r="H40" s="735"/>
      <c r="I40" s="735"/>
      <c r="J40" s="773"/>
    </row>
    <row r="41" spans="1:12" s="503" customFormat="1" ht="24.75" customHeight="1" thickBot="1">
      <c r="A41" s="500" t="s">
        <v>328</v>
      </c>
      <c r="B41" s="513">
        <f>B21+B31+B36+B38+B39</f>
        <v>152536839</v>
      </c>
      <c r="C41" s="513">
        <f>C21+C31+C36+C38+C39+C40</f>
        <v>152536839</v>
      </c>
      <c r="D41" s="513">
        <f>D21+D31+D36+D38+D39+D40+D32+D37</f>
        <v>160292711</v>
      </c>
      <c r="E41" s="513">
        <f>E21+E31+E36+E38+E39+E40+E32+E37</f>
        <v>156327245</v>
      </c>
      <c r="F41" s="513">
        <f>F21+F31+F36+F38</f>
        <v>120113661</v>
      </c>
      <c r="G41" s="948"/>
      <c r="H41" s="513">
        <f>H21+H31+H36+H38</f>
        <v>0</v>
      </c>
      <c r="I41" s="513">
        <f>I21+I31+I36+I38</f>
        <v>0</v>
      </c>
      <c r="J41" s="748" t="e">
        <f>H41/G41</f>
        <v>#DIV/0!</v>
      </c>
      <c r="K41" s="1004"/>
      <c r="L41" s="1004"/>
    </row>
    <row r="42" spans="1:11" s="502" customFormat="1" ht="24.75" customHeight="1" thickBot="1">
      <c r="A42" s="504" t="s">
        <v>329</v>
      </c>
      <c r="B42" s="516">
        <v>3228831</v>
      </c>
      <c r="C42" s="516">
        <v>3228831</v>
      </c>
      <c r="D42" s="516">
        <v>3228831</v>
      </c>
      <c r="E42" s="516">
        <v>3228831</v>
      </c>
      <c r="F42" s="516">
        <v>3057480</v>
      </c>
      <c r="G42" s="516"/>
      <c r="H42" s="516"/>
      <c r="I42" s="516"/>
      <c r="J42" s="749" t="e">
        <f>H42/G42</f>
        <v>#DIV/0!</v>
      </c>
      <c r="K42" s="945"/>
    </row>
    <row r="43" spans="1:10" ht="24.75" customHeight="1">
      <c r="A43" s="1115" t="s">
        <v>610</v>
      </c>
      <c r="B43" s="517"/>
      <c r="C43" s="517"/>
      <c r="D43" s="517">
        <v>1109830</v>
      </c>
      <c r="E43" s="517">
        <v>1109830</v>
      </c>
      <c r="F43" s="517"/>
      <c r="G43" s="517"/>
      <c r="H43" s="517"/>
      <c r="I43" s="517"/>
      <c r="J43" s="750"/>
    </row>
    <row r="44" spans="1:11" s="502" customFormat="1" ht="24.75" customHeight="1">
      <c r="A44" s="1114" t="s">
        <v>612</v>
      </c>
      <c r="B44" s="1112"/>
      <c r="C44" s="1112"/>
      <c r="D44" s="1112">
        <v>80000</v>
      </c>
      <c r="E44" s="1112">
        <v>80000</v>
      </c>
      <c r="F44" s="1112"/>
      <c r="G44" s="1112"/>
      <c r="H44" s="1112"/>
      <c r="I44" s="1112"/>
      <c r="J44" s="1113"/>
      <c r="K44" s="945"/>
    </row>
    <row r="45" spans="1:10" ht="24.75" customHeight="1">
      <c r="A45" s="940" t="s">
        <v>539</v>
      </c>
      <c r="B45" s="517"/>
      <c r="C45" s="517">
        <v>494445</v>
      </c>
      <c r="D45" s="517">
        <f>494445+311215</f>
        <v>805660</v>
      </c>
      <c r="E45" s="517">
        <f>494445+311215+280810+90320</f>
        <v>1176790</v>
      </c>
      <c r="F45" s="517"/>
      <c r="G45" s="517"/>
      <c r="H45" s="517"/>
      <c r="I45" s="517"/>
      <c r="J45" s="750"/>
    </row>
    <row r="46" spans="1:10" ht="24.75" customHeight="1">
      <c r="A46" s="496" t="s">
        <v>601</v>
      </c>
      <c r="B46" s="518"/>
      <c r="C46" s="518">
        <v>375300</v>
      </c>
      <c r="D46" s="518">
        <f>375300+102985</f>
        <v>478285</v>
      </c>
      <c r="E46" s="518">
        <f>375300+102985+51050+153154</f>
        <v>682489</v>
      </c>
      <c r="F46" s="518">
        <f>283506+74420+148842</f>
        <v>506768</v>
      </c>
      <c r="G46" s="518"/>
      <c r="H46" s="518"/>
      <c r="I46" s="518"/>
      <c r="J46" s="751"/>
    </row>
    <row r="47" spans="1:10" ht="24.75" customHeight="1">
      <c r="A47" s="496" t="s">
        <v>417</v>
      </c>
      <c r="B47" s="518"/>
      <c r="C47" s="518">
        <v>10995306</v>
      </c>
      <c r="D47" s="518">
        <f>10995306+3985979</f>
        <v>14981285</v>
      </c>
      <c r="E47" s="518">
        <f>10995306+3985979+1684234+5226368</f>
        <v>21891887</v>
      </c>
      <c r="F47" s="518"/>
      <c r="G47" s="518"/>
      <c r="H47" s="518"/>
      <c r="I47" s="518"/>
      <c r="J47" s="751"/>
    </row>
    <row r="48" spans="1:10" ht="24.75" customHeight="1">
      <c r="A48" s="496" t="s">
        <v>638</v>
      </c>
      <c r="B48" s="518"/>
      <c r="C48" s="518"/>
      <c r="D48" s="518"/>
      <c r="E48" s="518">
        <v>1714500</v>
      </c>
      <c r="F48" s="518"/>
      <c r="G48" s="518"/>
      <c r="H48" s="518"/>
      <c r="I48" s="518"/>
      <c r="J48" s="751"/>
    </row>
    <row r="49" spans="1:12" s="506" customFormat="1" ht="26.25" customHeight="1" thickBot="1">
      <c r="A49" s="505" t="s">
        <v>24</v>
      </c>
      <c r="B49" s="519">
        <f>B16+B20+B41+B42</f>
        <v>294726379</v>
      </c>
      <c r="C49" s="519">
        <f>C16+C20+C41+C42+C45+C46+C47</f>
        <v>306591430</v>
      </c>
      <c r="D49" s="519">
        <f>D16+D20+D41+D42+D45+D46+D47+D43+D44</f>
        <v>323765090</v>
      </c>
      <c r="E49" s="519">
        <f>E16+E20+E41+E42+E45+E46+E47+E43+E44+E48</f>
        <v>330079610</v>
      </c>
      <c r="F49" s="519" t="e">
        <f>F16+F20+F41+F42+#REF!+#REF!+F46+#REF!</f>
        <v>#REF!</v>
      </c>
      <c r="G49" s="519"/>
      <c r="H49" s="519" t="e">
        <f>H16+H20+H41+H42+#REF!</f>
        <v>#REF!</v>
      </c>
      <c r="I49" s="519" t="e">
        <f>I16+I20+I41+I42+#REF!</f>
        <v>#REF!</v>
      </c>
      <c r="J49" s="519" t="e">
        <f>J16+J20+J41+J42+#REF!</f>
        <v>#DIV/0!</v>
      </c>
      <c r="K49" s="946"/>
      <c r="L49" s="946"/>
    </row>
    <row r="50" ht="15" hidden="1">
      <c r="B50" s="772">
        <f>'3.sz.m Önk  bev.'!E34</f>
        <v>294726379</v>
      </c>
    </row>
    <row r="51" spans="1:2" ht="15" hidden="1">
      <c r="A51" s="507"/>
      <c r="B51" s="772">
        <f>B49-B50</f>
        <v>0</v>
      </c>
    </row>
    <row r="52" spans="2:5" ht="15">
      <c r="B52" s="772"/>
      <c r="C52" s="772"/>
      <c r="D52" s="772"/>
      <c r="E52" s="772">
        <f>+'1.sz.m-önk.össze.bev'!H36+'1.sz.m-önk.össze.bev'!H37</f>
        <v>330079610</v>
      </c>
    </row>
    <row r="53" spans="2:7" ht="15">
      <c r="B53" s="772"/>
      <c r="D53" s="772"/>
      <c r="E53" s="772">
        <f>+E52-E49</f>
        <v>0</v>
      </c>
      <c r="F53" s="772"/>
      <c r="G53" s="772"/>
    </row>
    <row r="54" spans="2:7" ht="15">
      <c r="B54" s="772"/>
      <c r="C54" s="772"/>
      <c r="D54" s="772"/>
      <c r="G54" s="772"/>
    </row>
    <row r="56" ht="15">
      <c r="D56" s="772"/>
    </row>
  </sheetData>
  <sheetProtection/>
  <mergeCells count="6">
    <mergeCell ref="J7:J14"/>
    <mergeCell ref="J17:J18"/>
    <mergeCell ref="J21:J38"/>
    <mergeCell ref="A3:G3"/>
    <mergeCell ref="A1:G1"/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workbookViewId="0" topLeftCell="B4">
      <selection activeCell="L3" sqref="L3"/>
    </sheetView>
  </sheetViews>
  <sheetFormatPr defaultColWidth="9.140625" defaultRowHeight="12.75"/>
  <cols>
    <col min="1" max="1" width="5.8515625" style="1036" customWidth="1"/>
    <col min="2" max="2" width="42.57421875" style="1035" customWidth="1"/>
    <col min="3" max="8" width="11.00390625" style="1035" customWidth="1"/>
    <col min="9" max="9" width="12.28125" style="1035" customWidth="1"/>
    <col min="10" max="10" width="2.8515625" style="1035" customWidth="1"/>
    <col min="11" max="16384" width="9.140625" style="1035" customWidth="1"/>
  </cols>
  <sheetData>
    <row r="1" spans="1:9" ht="27.75" customHeight="1">
      <c r="A1" s="1511" t="s">
        <v>511</v>
      </c>
      <c r="B1" s="1511"/>
      <c r="C1" s="1511"/>
      <c r="D1" s="1511"/>
      <c r="E1" s="1511"/>
      <c r="F1" s="1511"/>
      <c r="G1" s="1511"/>
      <c r="H1" s="1511"/>
      <c r="I1" s="1511"/>
    </row>
    <row r="2" ht="20.25" customHeight="1" thickBot="1">
      <c r="I2" s="1037" t="str">
        <f>'[1]1. sz tájékoztató t.'!E2</f>
        <v>Forintban!</v>
      </c>
    </row>
    <row r="3" spans="1:9" s="1038" customFormat="1" ht="26.25" customHeight="1">
      <c r="A3" s="1512" t="s">
        <v>512</v>
      </c>
      <c r="B3" s="1514" t="s">
        <v>513</v>
      </c>
      <c r="C3" s="1512" t="s">
        <v>514</v>
      </c>
      <c r="D3" s="1516" t="s">
        <v>567</v>
      </c>
      <c r="E3" s="1518" t="s">
        <v>515</v>
      </c>
      <c r="F3" s="1519"/>
      <c r="G3" s="1519"/>
      <c r="H3" s="1520"/>
      <c r="I3" s="1514" t="s">
        <v>1</v>
      </c>
    </row>
    <row r="4" spans="1:9" s="1041" customFormat="1" ht="32.25" customHeight="1" thickBot="1">
      <c r="A4" s="1513"/>
      <c r="B4" s="1515"/>
      <c r="C4" s="1515"/>
      <c r="D4" s="1517"/>
      <c r="E4" s="1039" t="s">
        <v>532</v>
      </c>
      <c r="F4" s="1039" t="s">
        <v>551</v>
      </c>
      <c r="G4" s="1039" t="s">
        <v>590</v>
      </c>
      <c r="H4" s="1040" t="s">
        <v>591</v>
      </c>
      <c r="I4" s="1515"/>
    </row>
    <row r="5" spans="1:9" s="1047" customFormat="1" ht="12.75" customHeight="1" thickBot="1">
      <c r="A5" s="1042" t="s">
        <v>516</v>
      </c>
      <c r="B5" s="1043" t="s">
        <v>14</v>
      </c>
      <c r="C5" s="1044" t="s">
        <v>517</v>
      </c>
      <c r="D5" s="1043" t="s">
        <v>518</v>
      </c>
      <c r="E5" s="1042" t="s">
        <v>519</v>
      </c>
      <c r="F5" s="1044" t="s">
        <v>15</v>
      </c>
      <c r="G5" s="1044" t="s">
        <v>520</v>
      </c>
      <c r="H5" s="1045" t="s">
        <v>504</v>
      </c>
      <c r="I5" s="1046" t="s">
        <v>521</v>
      </c>
    </row>
    <row r="6" spans="1:9" ht="24.75" customHeight="1" thickBot="1">
      <c r="A6" s="1048" t="s">
        <v>26</v>
      </c>
      <c r="B6" s="1048" t="s">
        <v>522</v>
      </c>
      <c r="C6" s="1049"/>
      <c r="D6" s="1050">
        <f>+D7+D8</f>
        <v>0</v>
      </c>
      <c r="E6" s="1051">
        <f>+E7+E8</f>
        <v>0</v>
      </c>
      <c r="F6" s="1052">
        <f>+F7+F8</f>
        <v>0</v>
      </c>
      <c r="G6" s="1052">
        <f>+G7+G8</f>
        <v>0</v>
      </c>
      <c r="H6" s="1053">
        <f>+H7+H8</f>
        <v>0</v>
      </c>
      <c r="I6" s="1054">
        <f aca="true" t="shared" si="0" ref="I6:I29">SUM(D6:H6)</f>
        <v>0</v>
      </c>
    </row>
    <row r="7" spans="1:10" ht="19.5" customHeight="1">
      <c r="A7" s="1055" t="s">
        <v>27</v>
      </c>
      <c r="B7" s="1055" t="s">
        <v>523</v>
      </c>
      <c r="C7" s="1056"/>
      <c r="D7" s="1057"/>
      <c r="E7" s="1058"/>
      <c r="F7" s="1059"/>
      <c r="G7" s="1059"/>
      <c r="H7" s="1060"/>
      <c r="I7" s="1061">
        <f t="shared" si="0"/>
        <v>0</v>
      </c>
      <c r="J7" s="1508"/>
    </row>
    <row r="8" spans="1:10" ht="19.5" customHeight="1" thickBot="1">
      <c r="A8" s="1055" t="s">
        <v>9</v>
      </c>
      <c r="B8" s="1055" t="s">
        <v>523</v>
      </c>
      <c r="C8" s="1056"/>
      <c r="D8" s="1057"/>
      <c r="E8" s="1058"/>
      <c r="F8" s="1059"/>
      <c r="G8" s="1059"/>
      <c r="H8" s="1060"/>
      <c r="I8" s="1061">
        <f t="shared" si="0"/>
        <v>0</v>
      </c>
      <c r="J8" s="1508"/>
    </row>
    <row r="9" spans="1:10" ht="25.5" customHeight="1" thickBot="1">
      <c r="A9" s="1048" t="s">
        <v>10</v>
      </c>
      <c r="B9" s="1048" t="s">
        <v>524</v>
      </c>
      <c r="C9" s="1049"/>
      <c r="D9" s="1050">
        <f>+D10+D11</f>
        <v>0</v>
      </c>
      <c r="E9" s="1051">
        <f>+E10+E11</f>
        <v>0</v>
      </c>
      <c r="F9" s="1052">
        <f>+F10+F11</f>
        <v>0</v>
      </c>
      <c r="G9" s="1052">
        <f>+G10+G11</f>
        <v>0</v>
      </c>
      <c r="H9" s="1053">
        <f>+H10+H11</f>
        <v>0</v>
      </c>
      <c r="I9" s="1054">
        <f t="shared" si="0"/>
        <v>0</v>
      </c>
      <c r="J9" s="1508"/>
    </row>
    <row r="10" spans="1:10" ht="19.5" customHeight="1">
      <c r="A10" s="1055" t="s">
        <v>11</v>
      </c>
      <c r="B10" s="1055" t="s">
        <v>534</v>
      </c>
      <c r="C10" s="1056"/>
      <c r="D10" s="1057"/>
      <c r="E10" s="1058"/>
      <c r="F10" s="1059">
        <f>+'[4]11. sz adósság kötelezettség'!D7</f>
        <v>0</v>
      </c>
      <c r="G10" s="1059"/>
      <c r="H10" s="1060"/>
      <c r="I10" s="1061">
        <f t="shared" si="0"/>
        <v>0</v>
      </c>
      <c r="J10" s="1508"/>
    </row>
    <row r="11" spans="1:10" ht="19.5" customHeight="1" thickBot="1">
      <c r="A11" s="1055" t="s">
        <v>12</v>
      </c>
      <c r="B11" s="1055" t="s">
        <v>523</v>
      </c>
      <c r="C11" s="1056"/>
      <c r="D11" s="1057"/>
      <c r="E11" s="1058"/>
      <c r="F11" s="1059"/>
      <c r="G11" s="1059"/>
      <c r="H11" s="1060"/>
      <c r="I11" s="1061">
        <f t="shared" si="0"/>
        <v>0</v>
      </c>
      <c r="J11" s="1508"/>
    </row>
    <row r="12" spans="1:10" ht="19.5" customHeight="1" thickBot="1">
      <c r="A12" s="1048" t="s">
        <v>13</v>
      </c>
      <c r="B12" s="1048" t="s">
        <v>525</v>
      </c>
      <c r="C12" s="1049"/>
      <c r="D12" s="1050">
        <f>SUM(D13:D16)</f>
        <v>808000</v>
      </c>
      <c r="E12" s="1051">
        <f>SUM(E13:E17)</f>
        <v>41753811</v>
      </c>
      <c r="F12" s="1052">
        <f>SUM(F13:F19)</f>
        <v>12842315</v>
      </c>
      <c r="G12" s="1052">
        <f>SUM(G13:G17)</f>
        <v>0</v>
      </c>
      <c r="H12" s="1053">
        <f>SUM(H13:H17)</f>
        <v>0</v>
      </c>
      <c r="I12" s="1054">
        <f>SUM(D12:H12)</f>
        <v>55404126</v>
      </c>
      <c r="J12" s="1508"/>
    </row>
    <row r="13" spans="1:10" ht="79.5" customHeight="1">
      <c r="A13" s="1062" t="s">
        <v>54</v>
      </c>
      <c r="B13" s="1055" t="str">
        <f>+'6.a.sz.m.fejlesztés (4)'!B10</f>
        <v>Magyar Falu Program -  vicai faluház újraépítése</v>
      </c>
      <c r="C13" s="1069" t="s">
        <v>592</v>
      </c>
      <c r="D13" s="1057">
        <v>808000</v>
      </c>
      <c r="E13" s="1058">
        <f>+'6.a.sz.m.fejlesztés (4)'!F10</f>
        <v>24726255</v>
      </c>
      <c r="F13" s="1065"/>
      <c r="G13" s="1065"/>
      <c r="H13" s="1066"/>
      <c r="I13" s="1067">
        <f t="shared" si="0"/>
        <v>25534255</v>
      </c>
      <c r="J13" s="1508"/>
    </row>
    <row r="14" spans="1:10" ht="22.5" hidden="1">
      <c r="A14" s="1068" t="s">
        <v>55</v>
      </c>
      <c r="B14" s="1068" t="s">
        <v>527</v>
      </c>
      <c r="C14" s="1069" t="s">
        <v>526</v>
      </c>
      <c r="D14" s="1070"/>
      <c r="E14" s="1071"/>
      <c r="F14" s="1072"/>
      <c r="G14" s="1072"/>
      <c r="H14" s="1073"/>
      <c r="I14" s="1061">
        <f t="shared" si="0"/>
        <v>0</v>
      </c>
      <c r="J14" s="1508"/>
    </row>
    <row r="15" spans="1:10" ht="12.75">
      <c r="A15" s="1068" t="s">
        <v>55</v>
      </c>
      <c r="B15" s="1055" t="s">
        <v>597</v>
      </c>
      <c r="C15" s="1069">
        <v>2019</v>
      </c>
      <c r="D15" s="1057"/>
      <c r="E15" s="1058">
        <f>+'6.a.sz.m.fejlesztés (4)'!E11</f>
        <v>16732556</v>
      </c>
      <c r="F15" s="1072"/>
      <c r="G15" s="1072"/>
      <c r="H15" s="1073"/>
      <c r="I15" s="1061">
        <f t="shared" si="0"/>
        <v>16732556</v>
      </c>
      <c r="J15" s="1508"/>
    </row>
    <row r="16" spans="1:10" ht="12.75">
      <c r="A16" s="1068" t="s">
        <v>379</v>
      </c>
      <c r="B16" s="1055" t="str">
        <f>+'6.a.sz.m.fejlesztés (4)'!B15</f>
        <v>MFP- óvodaudvar játékok beszerzése (2020)</v>
      </c>
      <c r="C16" s="1069">
        <v>2020</v>
      </c>
      <c r="D16" s="1057"/>
      <c r="E16" s="1058"/>
      <c r="F16" s="1072">
        <f>+'6.a.sz.m.fejlesztés (4)'!F15</f>
        <v>4999990</v>
      </c>
      <c r="G16" s="1072"/>
      <c r="H16" s="1073"/>
      <c r="I16" s="1061">
        <f t="shared" si="0"/>
        <v>4999990</v>
      </c>
      <c r="J16" s="1508"/>
    </row>
    <row r="17" spans="1:10" ht="12.75">
      <c r="A17" s="1068" t="s">
        <v>399</v>
      </c>
      <c r="B17" s="1055" t="str">
        <f>+'6.a.sz.m.fejlesztés (4)'!B16</f>
        <v>MFP - orvosi eszközök beszerzése (2020)</v>
      </c>
      <c r="C17" s="1069">
        <v>2020</v>
      </c>
      <c r="D17" s="1057"/>
      <c r="E17" s="1058">
        <f>+'6.a.sz.m.fejlesztés (4)'!H16+'6.a.sz.m.fejlesztés (4)'!I16</f>
        <v>295000</v>
      </c>
      <c r="F17" s="1072">
        <f>+'6.a.sz.m.fejlesztés (4)'!F16-E17</f>
        <v>2147391</v>
      </c>
      <c r="G17" s="1072"/>
      <c r="H17" s="1073"/>
      <c r="I17" s="1061">
        <f t="shared" si="0"/>
        <v>2442391</v>
      </c>
      <c r="J17" s="1508"/>
    </row>
    <row r="18" spans="1:10" ht="12.75">
      <c r="A18" s="1068" t="s">
        <v>400</v>
      </c>
      <c r="B18" s="1055" t="str">
        <f>+'6.a.sz.m.fejlesztés (4)'!B18</f>
        <v>MFP óvodaudvar - kerítésfelújítás</v>
      </c>
      <c r="C18" s="1069">
        <v>2019</v>
      </c>
      <c r="D18" s="1057"/>
      <c r="E18" s="1072">
        <f>+'6.a.sz.m.fejlesztés (4)'!G18</f>
        <v>7069517</v>
      </c>
      <c r="G18" s="1072"/>
      <c r="H18" s="1073"/>
      <c r="I18" s="1061">
        <f t="shared" si="0"/>
        <v>7069517</v>
      </c>
      <c r="J18" s="1508"/>
    </row>
    <row r="19" spans="1:10" ht="13.5" thickBot="1">
      <c r="A19" s="1121" t="s">
        <v>402</v>
      </c>
      <c r="B19" s="1055" t="str">
        <f>+'6.a.sz.m.fejlesztés (4)'!B19</f>
        <v>Konyha bővítése és eszközbeszerzés</v>
      </c>
      <c r="C19" s="1069">
        <v>2020</v>
      </c>
      <c r="D19" s="1057"/>
      <c r="E19" s="1058"/>
      <c r="F19" s="1074">
        <f>+'6.a.sz.m.fejlesztés (4)'!G19</f>
        <v>5694934</v>
      </c>
      <c r="G19" s="1074"/>
      <c r="H19" s="1075"/>
      <c r="I19" s="1061">
        <f t="shared" si="0"/>
        <v>5694934</v>
      </c>
      <c r="J19" s="1508"/>
    </row>
    <row r="20" spans="1:10" ht="19.5" customHeight="1" thickBot="1">
      <c r="A20" s="1048" t="s">
        <v>404</v>
      </c>
      <c r="B20" s="1048" t="s">
        <v>528</v>
      </c>
      <c r="C20" s="1049"/>
      <c r="D20" s="1077">
        <f>SUM(D21:D23)</f>
        <v>2366900</v>
      </c>
      <c r="E20" s="1077">
        <f>SUM(E21:E26)</f>
        <v>185575201</v>
      </c>
      <c r="F20" s="1077">
        <f>SUM(F21:F26)</f>
        <v>34999999</v>
      </c>
      <c r="G20" s="1078">
        <f>SUM(G21:G23)</f>
        <v>0</v>
      </c>
      <c r="H20" s="1079">
        <f>SUM(H21:H23)</f>
        <v>0</v>
      </c>
      <c r="I20" s="1054">
        <f>SUM(D20:H20)</f>
        <v>222942100</v>
      </c>
      <c r="J20" s="1508"/>
    </row>
    <row r="21" spans="1:10" ht="19.5" customHeight="1">
      <c r="A21" s="1080" t="s">
        <v>406</v>
      </c>
      <c r="B21" s="1080" t="str">
        <f>+'[4]7.a.sz.m.fejlesztés (4)'!B47</f>
        <v>MFP - Egészségház felújítása</v>
      </c>
      <c r="C21" s="1069" t="s">
        <v>592</v>
      </c>
      <c r="D21" s="1081">
        <v>1651000</v>
      </c>
      <c r="E21" s="1077">
        <f>+'6.a.sz.m.fejlesztés (4)'!F29</f>
        <v>94744146</v>
      </c>
      <c r="F21" s="1078"/>
      <c r="G21" s="1078"/>
      <c r="H21" s="1079"/>
      <c r="I21" s="1061">
        <f t="shared" si="0"/>
        <v>96395146</v>
      </c>
      <c r="J21" s="1508"/>
    </row>
    <row r="22" spans="1:10" ht="19.5" customHeight="1">
      <c r="A22" s="1055" t="s">
        <v>529</v>
      </c>
      <c r="B22" s="1068" t="str">
        <f>+'[4]7.a.sz.m.fejlesztés (4)'!B49</f>
        <v>MFP útfelújítás</v>
      </c>
      <c r="C22" s="1069" t="s">
        <v>592</v>
      </c>
      <c r="D22" s="1057">
        <v>500000</v>
      </c>
      <c r="E22" s="1058">
        <f>+'6.a.sz.m.fejlesztés (4)'!E30</f>
        <v>56734459</v>
      </c>
      <c r="F22" s="1059"/>
      <c r="G22" s="1059"/>
      <c r="H22" s="1060"/>
      <c r="I22" s="1061">
        <f t="shared" si="0"/>
        <v>57234459</v>
      </c>
      <c r="J22" s="1508"/>
    </row>
    <row r="23" spans="1:10" ht="19.5" customHeight="1">
      <c r="A23" s="1055" t="s">
        <v>530</v>
      </c>
      <c r="B23" s="1068" t="str">
        <f>+'[4]7.a.sz.m.fejlesztés (4)'!B50</f>
        <v>MFP óvodaudvar - kerítésfelújítás</v>
      </c>
      <c r="C23" s="1069" t="s">
        <v>592</v>
      </c>
      <c r="D23" s="1057">
        <v>215900</v>
      </c>
      <c r="E23" s="1058">
        <f>+'6.a.sz.m.fejlesztés (4)'!F31</f>
        <v>6999646</v>
      </c>
      <c r="F23" s="1059"/>
      <c r="G23" s="1059"/>
      <c r="H23" s="1060"/>
      <c r="I23" s="1061">
        <f t="shared" si="0"/>
        <v>7215546</v>
      </c>
      <c r="J23" s="1508"/>
    </row>
    <row r="24" spans="1:10" ht="19.5" customHeight="1">
      <c r="A24" s="1055" t="s">
        <v>641</v>
      </c>
      <c r="B24" s="1068" t="s">
        <v>575</v>
      </c>
      <c r="C24" s="1069" t="s">
        <v>592</v>
      </c>
      <c r="D24" s="1057"/>
      <c r="E24" s="1058">
        <f>+'6.a.sz.m.fejlesztés (4)'!D32</f>
        <v>26000000</v>
      </c>
      <c r="F24" s="1059"/>
      <c r="G24" s="1059"/>
      <c r="H24" s="1060"/>
      <c r="I24" s="1061">
        <f t="shared" si="0"/>
        <v>26000000</v>
      </c>
      <c r="J24" s="1508"/>
    </row>
    <row r="25" spans="1:10" ht="19.5" customHeight="1">
      <c r="A25" s="1055" t="s">
        <v>576</v>
      </c>
      <c r="B25" s="1068" t="str">
        <f>+'6.a.sz.m.fejlesztés (4)'!B35</f>
        <v>MFP 2020 Művelődési ház felújítása</v>
      </c>
      <c r="C25" s="1069" t="s">
        <v>639</v>
      </c>
      <c r="D25" s="1057"/>
      <c r="E25" s="1058">
        <f>+'6.a.sz.m.fejlesztés (4)'!H35+'6.a.sz.m.fejlesztés (4)'!I35</f>
        <v>996950</v>
      </c>
      <c r="F25" s="1059">
        <f>+'6.a.sz.m.fejlesztés (4)'!G35-E25</f>
        <v>29999999</v>
      </c>
      <c r="G25" s="1059"/>
      <c r="H25" s="1060"/>
      <c r="I25" s="1061">
        <f t="shared" si="0"/>
        <v>30996949</v>
      </c>
      <c r="J25" s="1508"/>
    </row>
    <row r="26" spans="1:10" ht="19.5" customHeight="1" thickBot="1">
      <c r="A26" s="1055" t="s">
        <v>642</v>
      </c>
      <c r="B26" s="1068" t="str">
        <f>+'6.a.sz.m.fejlesztés (4)'!B36</f>
        <v>MFP 2020 Beled temető gyalogjárda felújítása</v>
      </c>
      <c r="C26" s="1069" t="s">
        <v>639</v>
      </c>
      <c r="D26" s="1057"/>
      <c r="E26" s="1058">
        <f>+'6.a.sz.m.fejlesztés (4)'!H36</f>
        <v>100000</v>
      </c>
      <c r="F26" s="1059">
        <f>+'6.a.sz.m.fejlesztés (4)'!G36-E26</f>
        <v>5000000</v>
      </c>
      <c r="G26" s="1059"/>
      <c r="H26" s="1060"/>
      <c r="I26" s="1061">
        <f t="shared" si="0"/>
        <v>5100000</v>
      </c>
      <c r="J26" s="1508"/>
    </row>
    <row r="27" spans="1:10" ht="19.5" customHeight="1" thickBot="1">
      <c r="A27" s="1048" t="s">
        <v>643</v>
      </c>
      <c r="B27" s="1048" t="s">
        <v>531</v>
      </c>
      <c r="C27" s="1049"/>
      <c r="D27" s="1050" t="e">
        <f>+D28</f>
        <v>#REF!</v>
      </c>
      <c r="E27" s="1051" t="e">
        <f>+E28</f>
        <v>#REF!</v>
      </c>
      <c r="F27" s="1052">
        <f>+F28</f>
        <v>0</v>
      </c>
      <c r="G27" s="1052">
        <f>+G29</f>
        <v>0</v>
      </c>
      <c r="H27" s="1053">
        <f>+H29</f>
        <v>0</v>
      </c>
      <c r="I27" s="1054" t="e">
        <f t="shared" si="0"/>
        <v>#REF!</v>
      </c>
      <c r="J27" s="1508"/>
    </row>
    <row r="28" spans="1:10" ht="26.25" customHeight="1">
      <c r="A28" s="1082" t="s">
        <v>644</v>
      </c>
      <c r="B28" s="1055" t="s">
        <v>577</v>
      </c>
      <c r="C28" s="1063" t="s">
        <v>640</v>
      </c>
      <c r="D28" s="1064" t="e">
        <f>+#REF!+#REF!</f>
        <v>#REF!</v>
      </c>
      <c r="E28" s="1083" t="e">
        <f>+#REF!</f>
        <v>#REF!</v>
      </c>
      <c r="F28" s="1065"/>
      <c r="G28" s="1065"/>
      <c r="H28" s="1066"/>
      <c r="I28" s="1061" t="e">
        <f t="shared" si="0"/>
        <v>#REF!</v>
      </c>
      <c r="J28" s="1508"/>
    </row>
    <row r="29" spans="1:10" ht="20.25" customHeight="1" thickBot="1">
      <c r="A29" s="1055" t="s">
        <v>645</v>
      </c>
      <c r="B29" s="1055" t="s">
        <v>523</v>
      </c>
      <c r="C29" s="1084"/>
      <c r="D29" s="1085"/>
      <c r="E29" s="1086"/>
      <c r="F29" s="1087"/>
      <c r="G29" s="1087"/>
      <c r="H29" s="1088"/>
      <c r="I29" s="1076">
        <f t="shared" si="0"/>
        <v>0</v>
      </c>
      <c r="J29" s="1508"/>
    </row>
    <row r="30" spans="1:10" ht="19.5" customHeight="1" thickBot="1">
      <c r="A30" s="1509" t="s">
        <v>533</v>
      </c>
      <c r="B30" s="1510"/>
      <c r="C30" s="1089"/>
      <c r="D30" s="1050" t="e">
        <f aca="true" t="shared" si="1" ref="D30:I30">+D6+D9+D12+D20+D27</f>
        <v>#REF!</v>
      </c>
      <c r="E30" s="1051" t="e">
        <f t="shared" si="1"/>
        <v>#REF!</v>
      </c>
      <c r="F30" s="1052">
        <f t="shared" si="1"/>
        <v>47842314</v>
      </c>
      <c r="G30" s="1052">
        <f t="shared" si="1"/>
        <v>0</v>
      </c>
      <c r="H30" s="1053">
        <f t="shared" si="1"/>
        <v>0</v>
      </c>
      <c r="I30" s="1054" t="e">
        <f t="shared" si="1"/>
        <v>#REF!</v>
      </c>
      <c r="J30" s="1508"/>
    </row>
  </sheetData>
  <sheetProtection/>
  <mergeCells count="9">
    <mergeCell ref="J7:J30"/>
    <mergeCell ref="A30:B30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82" r:id="rId1"/>
  <headerFooter alignWithMargins="0">
    <oddHeader xml:space="preserve">&amp;R13. számú melléklet
(15. számú mellléklet a 4/2020. (III.13.) önkormányzati rendelethez)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262" customWidth="1"/>
    <col min="2" max="2" width="8.28125" style="256" customWidth="1"/>
    <col min="3" max="3" width="52.00390625" style="256" customWidth="1"/>
    <col min="4" max="6" width="8.28125" style="256" bestFit="1" customWidth="1"/>
    <col min="7" max="7" width="7.421875" style="256" bestFit="1" customWidth="1"/>
    <col min="8" max="8" width="8.421875" style="256" bestFit="1" customWidth="1"/>
    <col min="9" max="9" width="8.8515625" style="256" hidden="1" customWidth="1"/>
    <col min="10" max="12" width="8.28125" style="256" bestFit="1" customWidth="1"/>
    <col min="13" max="13" width="7.421875" style="256" bestFit="1" customWidth="1"/>
    <col min="14" max="14" width="8.421875" style="256" bestFit="1" customWidth="1"/>
    <col min="15" max="15" width="8.8515625" style="256" hidden="1" customWidth="1"/>
    <col min="16" max="16" width="12.421875" style="256" bestFit="1" customWidth="1"/>
    <col min="17" max="17" width="4.57421875" style="256" hidden="1" customWidth="1"/>
    <col min="18" max="18" width="0" style="256" hidden="1" customWidth="1"/>
    <col min="19" max="19" width="10.00390625" style="256" hidden="1" customWidth="1"/>
    <col min="20" max="20" width="0" style="256" hidden="1" customWidth="1"/>
    <col min="21" max="16384" width="9.140625" style="256" customWidth="1"/>
  </cols>
  <sheetData>
    <row r="1" spans="1:16" s="102" customFormat="1" ht="21" customHeight="1" hidden="1">
      <c r="A1" s="98"/>
      <c r="B1" s="99"/>
      <c r="C1" s="100"/>
      <c r="D1" s="101"/>
      <c r="E1" s="101"/>
      <c r="F1" s="101"/>
      <c r="G1" s="101"/>
      <c r="H1" s="101"/>
      <c r="I1" s="101"/>
      <c r="J1" s="1521"/>
      <c r="K1" s="1521"/>
      <c r="L1" s="1521"/>
      <c r="M1" s="1521"/>
      <c r="N1" s="1521"/>
      <c r="O1" s="1521"/>
      <c r="P1" s="1521"/>
    </row>
    <row r="2" spans="1:16" s="105" customFormat="1" ht="25.5" customHeight="1" hidden="1" thickBot="1">
      <c r="A2" s="1384"/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  <c r="N2" s="1384"/>
      <c r="O2" s="1384"/>
      <c r="P2" s="1384"/>
    </row>
    <row r="3" spans="1:20" s="108" customFormat="1" ht="40.5" customHeight="1" hidden="1" thickBot="1">
      <c r="A3" s="106"/>
      <c r="B3" s="106"/>
      <c r="C3" s="106"/>
      <c r="D3" s="1390" t="s">
        <v>4</v>
      </c>
      <c r="E3" s="1391"/>
      <c r="F3" s="1391"/>
      <c r="G3" s="1391"/>
      <c r="H3" s="1391"/>
      <c r="I3" s="1392"/>
      <c r="J3" s="1390" t="s">
        <v>102</v>
      </c>
      <c r="K3" s="1391"/>
      <c r="L3" s="1391"/>
      <c r="M3" s="1391"/>
      <c r="N3" s="1391"/>
      <c r="O3" s="1392"/>
      <c r="P3" s="1522" t="s">
        <v>149</v>
      </c>
      <c r="Q3" s="1523"/>
      <c r="R3" s="1523"/>
      <c r="S3" s="1524"/>
      <c r="T3" s="437"/>
    </row>
    <row r="4" spans="1:19" ht="24.75" hidden="1" thickBot="1">
      <c r="A4" s="1382" t="s">
        <v>103</v>
      </c>
      <c r="B4" s="1383"/>
      <c r="C4" s="421" t="s">
        <v>104</v>
      </c>
      <c r="D4" s="411" t="s">
        <v>62</v>
      </c>
      <c r="E4" s="109" t="s">
        <v>215</v>
      </c>
      <c r="F4" s="109" t="s">
        <v>218</v>
      </c>
      <c r="G4" s="109" t="s">
        <v>220</v>
      </c>
      <c r="H4" s="109" t="s">
        <v>232</v>
      </c>
      <c r="I4" s="382" t="s">
        <v>224</v>
      </c>
      <c r="J4" s="411" t="s">
        <v>62</v>
      </c>
      <c r="K4" s="109" t="s">
        <v>215</v>
      </c>
      <c r="L4" s="109" t="s">
        <v>218</v>
      </c>
      <c r="M4" s="109" t="s">
        <v>220</v>
      </c>
      <c r="N4" s="109" t="s">
        <v>232</v>
      </c>
      <c r="O4" s="382" t="s">
        <v>224</v>
      </c>
      <c r="P4" s="411" t="s">
        <v>233</v>
      </c>
      <c r="Q4" s="109" t="s">
        <v>229</v>
      </c>
      <c r="R4" s="109" t="s">
        <v>218</v>
      </c>
      <c r="S4" s="382" t="s">
        <v>218</v>
      </c>
    </row>
    <row r="5" spans="1:19" s="114" customFormat="1" ht="12.75" customHeight="1" hidden="1" thickBot="1">
      <c r="A5" s="111">
        <v>1</v>
      </c>
      <c r="B5" s="112">
        <v>2</v>
      </c>
      <c r="C5" s="247">
        <v>3</v>
      </c>
      <c r="D5" s="111"/>
      <c r="E5" s="112"/>
      <c r="F5" s="112"/>
      <c r="G5" s="112"/>
      <c r="H5" s="112"/>
      <c r="I5" s="113"/>
      <c r="J5" s="111"/>
      <c r="K5" s="112"/>
      <c r="L5" s="112"/>
      <c r="M5" s="112"/>
      <c r="N5" s="112"/>
      <c r="O5" s="113"/>
      <c r="P5" s="111"/>
      <c r="Q5" s="112"/>
      <c r="R5" s="112"/>
      <c r="S5" s="113"/>
    </row>
    <row r="6" spans="1:19" s="114" customFormat="1" ht="15.75" customHeight="1" hidden="1" thickBot="1">
      <c r="A6" s="115"/>
      <c r="B6" s="116"/>
      <c r="C6" s="116" t="s">
        <v>105</v>
      </c>
      <c r="D6" s="388"/>
      <c r="E6" s="170"/>
      <c r="F6" s="170"/>
      <c r="G6" s="170"/>
      <c r="H6" s="170"/>
      <c r="I6" s="233"/>
      <c r="J6" s="388"/>
      <c r="K6" s="170"/>
      <c r="L6" s="170"/>
      <c r="M6" s="170"/>
      <c r="N6" s="170"/>
      <c r="O6" s="233"/>
      <c r="P6" s="388"/>
      <c r="Q6" s="170"/>
      <c r="R6" s="170"/>
      <c r="S6" s="233"/>
    </row>
    <row r="7" spans="1:19" s="119" customFormat="1" ht="12" customHeight="1" hidden="1" thickBot="1">
      <c r="A7" s="111" t="s">
        <v>26</v>
      </c>
      <c r="B7" s="117"/>
      <c r="C7" s="422" t="s">
        <v>106</v>
      </c>
      <c r="D7" s="389"/>
      <c r="E7" s="171"/>
      <c r="F7" s="171"/>
      <c r="G7" s="171"/>
      <c r="H7" s="446"/>
      <c r="I7" s="320"/>
      <c r="J7" s="389"/>
      <c r="K7" s="171"/>
      <c r="L7" s="171"/>
      <c r="M7" s="171"/>
      <c r="N7" s="446"/>
      <c r="O7" s="320"/>
      <c r="P7" s="389"/>
      <c r="Q7" s="171"/>
      <c r="R7" s="171"/>
      <c r="S7" s="118"/>
    </row>
    <row r="8" spans="1:19" s="119" customFormat="1" ht="12" customHeight="1" hidden="1" thickBot="1">
      <c r="A8" s="111" t="s">
        <v>9</v>
      </c>
      <c r="B8" s="117"/>
      <c r="C8" s="422" t="s">
        <v>112</v>
      </c>
      <c r="D8" s="389">
        <f aca="true" t="shared" si="0" ref="D8:M8">SUM(D9:D12)</f>
        <v>0</v>
      </c>
      <c r="E8" s="171">
        <f t="shared" si="0"/>
        <v>0</v>
      </c>
      <c r="F8" s="171">
        <f t="shared" si="0"/>
        <v>0</v>
      </c>
      <c r="G8" s="171">
        <f>SUM(G9:G12)</f>
        <v>0</v>
      </c>
      <c r="H8" s="446">
        <f>SUM(H9:H12)</f>
        <v>0</v>
      </c>
      <c r="I8" s="320"/>
      <c r="J8" s="389">
        <f t="shared" si="0"/>
        <v>0</v>
      </c>
      <c r="K8" s="171">
        <f t="shared" si="0"/>
        <v>0</v>
      </c>
      <c r="L8" s="171">
        <f t="shared" si="0"/>
        <v>0</v>
      </c>
      <c r="M8" s="171">
        <f t="shared" si="0"/>
        <v>0</v>
      </c>
      <c r="N8" s="446" t="s">
        <v>234</v>
      </c>
      <c r="O8" s="320"/>
      <c r="P8" s="389"/>
      <c r="Q8" s="171"/>
      <c r="R8" s="171"/>
      <c r="S8" s="118"/>
    </row>
    <row r="9" spans="1:19" s="124" customFormat="1" ht="12" customHeight="1" hidden="1">
      <c r="A9" s="122"/>
      <c r="B9" s="121" t="s">
        <v>113</v>
      </c>
      <c r="C9" s="401" t="s">
        <v>69</v>
      </c>
      <c r="D9" s="391"/>
      <c r="E9" s="172"/>
      <c r="F9" s="172"/>
      <c r="G9" s="172"/>
      <c r="H9" s="447"/>
      <c r="I9" s="410"/>
      <c r="J9" s="391"/>
      <c r="K9" s="172"/>
      <c r="L9" s="172"/>
      <c r="M9" s="172"/>
      <c r="N9" s="447"/>
      <c r="O9" s="410"/>
      <c r="P9" s="391"/>
      <c r="Q9" s="172"/>
      <c r="R9" s="172"/>
      <c r="S9" s="123"/>
    </row>
    <row r="10" spans="1:19" s="124" customFormat="1" ht="12" customHeight="1" hidden="1">
      <c r="A10" s="122"/>
      <c r="B10" s="121" t="s">
        <v>114</v>
      </c>
      <c r="C10" s="402" t="s">
        <v>115</v>
      </c>
      <c r="D10" s="391"/>
      <c r="E10" s="172"/>
      <c r="F10" s="172"/>
      <c r="G10" s="172"/>
      <c r="H10" s="447"/>
      <c r="I10" s="432"/>
      <c r="J10" s="391"/>
      <c r="K10" s="172"/>
      <c r="L10" s="172"/>
      <c r="M10" s="172"/>
      <c r="N10" s="447"/>
      <c r="O10" s="432"/>
      <c r="P10" s="391"/>
      <c r="Q10" s="172"/>
      <c r="R10" s="172"/>
      <c r="S10" s="123"/>
    </row>
    <row r="11" spans="1:19" s="124" customFormat="1" ht="12" customHeight="1" hidden="1">
      <c r="A11" s="122"/>
      <c r="B11" s="121" t="s">
        <v>116</v>
      </c>
      <c r="C11" s="402" t="s">
        <v>70</v>
      </c>
      <c r="D11" s="391"/>
      <c r="E11" s="172"/>
      <c r="F11" s="172"/>
      <c r="G11" s="172"/>
      <c r="H11" s="447"/>
      <c r="I11" s="432"/>
      <c r="J11" s="391"/>
      <c r="K11" s="172"/>
      <c r="L11" s="172"/>
      <c r="M11" s="172"/>
      <c r="N11" s="447"/>
      <c r="O11" s="432"/>
      <c r="P11" s="391"/>
      <c r="Q11" s="172"/>
      <c r="R11" s="172"/>
      <c r="S11" s="123"/>
    </row>
    <row r="12" spans="1:19" s="124" customFormat="1" ht="12" customHeight="1" hidden="1" thickBot="1">
      <c r="A12" s="122"/>
      <c r="B12" s="121" t="s">
        <v>117</v>
      </c>
      <c r="C12" s="402" t="s">
        <v>115</v>
      </c>
      <c r="D12" s="391"/>
      <c r="E12" s="172"/>
      <c r="F12" s="172"/>
      <c r="G12" s="172"/>
      <c r="H12" s="447"/>
      <c r="I12" s="438"/>
      <c r="J12" s="391"/>
      <c r="K12" s="172"/>
      <c r="L12" s="172"/>
      <c r="M12" s="172"/>
      <c r="N12" s="447"/>
      <c r="O12" s="438"/>
      <c r="P12" s="391"/>
      <c r="Q12" s="172"/>
      <c r="R12" s="172"/>
      <c r="S12" s="123"/>
    </row>
    <row r="13" spans="1:19" s="124" customFormat="1" ht="12" customHeight="1" hidden="1" thickBot="1">
      <c r="A13" s="126" t="s">
        <v>10</v>
      </c>
      <c r="B13" s="127"/>
      <c r="C13" s="400" t="s">
        <v>118</v>
      </c>
      <c r="D13" s="389">
        <f aca="true" t="shared" si="1" ref="D13:M13">SUM(D14:D15)</f>
        <v>0</v>
      </c>
      <c r="E13" s="171">
        <f t="shared" si="1"/>
        <v>0</v>
      </c>
      <c r="F13" s="171">
        <f t="shared" si="1"/>
        <v>0</v>
      </c>
      <c r="G13" s="171">
        <f>SUM(G14:G15)</f>
        <v>0</v>
      </c>
      <c r="H13" s="446"/>
      <c r="I13" s="320"/>
      <c r="J13" s="389">
        <f t="shared" si="1"/>
        <v>0</v>
      </c>
      <c r="K13" s="171">
        <f t="shared" si="1"/>
        <v>0</v>
      </c>
      <c r="L13" s="171">
        <f t="shared" si="1"/>
        <v>0</v>
      </c>
      <c r="M13" s="171">
        <f t="shared" si="1"/>
        <v>0</v>
      </c>
      <c r="N13" s="446"/>
      <c r="O13" s="320"/>
      <c r="P13" s="389"/>
      <c r="Q13" s="171"/>
      <c r="R13" s="171"/>
      <c r="S13" s="118"/>
    </row>
    <row r="14" spans="1:19" s="119" customFormat="1" ht="12" customHeight="1" hidden="1">
      <c r="A14" s="128"/>
      <c r="B14" s="129" t="s">
        <v>119</v>
      </c>
      <c r="C14" s="423" t="s">
        <v>120</v>
      </c>
      <c r="D14" s="392"/>
      <c r="E14" s="173"/>
      <c r="F14" s="173"/>
      <c r="G14" s="173"/>
      <c r="H14" s="448"/>
      <c r="I14" s="410"/>
      <c r="J14" s="392"/>
      <c r="K14" s="173"/>
      <c r="L14" s="173"/>
      <c r="M14" s="173"/>
      <c r="N14" s="448"/>
      <c r="O14" s="410"/>
      <c r="P14" s="392"/>
      <c r="Q14" s="173"/>
      <c r="R14" s="173"/>
      <c r="S14" s="130"/>
    </row>
    <row r="15" spans="1:19" s="119" customFormat="1" ht="12" customHeight="1" hidden="1" thickBot="1">
      <c r="A15" s="131"/>
      <c r="B15" s="132" t="s">
        <v>121</v>
      </c>
      <c r="C15" s="424" t="s">
        <v>122</v>
      </c>
      <c r="D15" s="393"/>
      <c r="E15" s="174"/>
      <c r="F15" s="174"/>
      <c r="G15" s="174"/>
      <c r="H15" s="449"/>
      <c r="I15" s="438"/>
      <c r="J15" s="393"/>
      <c r="K15" s="174"/>
      <c r="L15" s="174"/>
      <c r="M15" s="174"/>
      <c r="N15" s="449"/>
      <c r="O15" s="438"/>
      <c r="P15" s="393"/>
      <c r="Q15" s="174"/>
      <c r="R15" s="174"/>
      <c r="S15" s="133"/>
    </row>
    <row r="16" spans="1:19" s="119" customFormat="1" ht="12" customHeight="1" hidden="1" thickBot="1">
      <c r="A16" s="126" t="s">
        <v>11</v>
      </c>
      <c r="B16" s="117"/>
      <c r="C16" s="400" t="s">
        <v>123</v>
      </c>
      <c r="D16" s="394"/>
      <c r="E16" s="175"/>
      <c r="F16" s="175"/>
      <c r="G16" s="175"/>
      <c r="H16" s="450"/>
      <c r="I16" s="320"/>
      <c r="J16" s="394"/>
      <c r="K16" s="175"/>
      <c r="L16" s="175"/>
      <c r="M16" s="175"/>
      <c r="N16" s="450" t="s">
        <v>234</v>
      </c>
      <c r="O16" s="320"/>
      <c r="P16" s="394"/>
      <c r="Q16" s="175"/>
      <c r="R16" s="175"/>
      <c r="S16" s="134"/>
    </row>
    <row r="17" spans="1:19" s="119" customFormat="1" ht="12" customHeight="1" hidden="1" thickBot="1">
      <c r="A17" s="111" t="s">
        <v>12</v>
      </c>
      <c r="B17" s="135"/>
      <c r="C17" s="400" t="s">
        <v>124</v>
      </c>
      <c r="D17" s="389">
        <f aca="true" t="shared" si="2" ref="D17:M17">D7+D8+D13+D16</f>
        <v>0</v>
      </c>
      <c r="E17" s="171">
        <f t="shared" si="2"/>
        <v>0</v>
      </c>
      <c r="F17" s="171">
        <f t="shared" si="2"/>
        <v>0</v>
      </c>
      <c r="G17" s="171">
        <f t="shared" si="2"/>
        <v>0</v>
      </c>
      <c r="H17" s="446" t="s">
        <v>234</v>
      </c>
      <c r="I17" s="320"/>
      <c r="J17" s="389">
        <f t="shared" si="2"/>
        <v>0</v>
      </c>
      <c r="K17" s="171">
        <f t="shared" si="2"/>
        <v>0</v>
      </c>
      <c r="L17" s="171">
        <f t="shared" si="2"/>
        <v>0</v>
      </c>
      <c r="M17" s="171">
        <f t="shared" si="2"/>
        <v>0</v>
      </c>
      <c r="N17" s="446" t="s">
        <v>234</v>
      </c>
      <c r="O17" s="320"/>
      <c r="P17" s="389"/>
      <c r="Q17" s="171"/>
      <c r="R17" s="171"/>
      <c r="S17" s="118"/>
    </row>
    <row r="18" spans="1:19" s="124" customFormat="1" ht="12" customHeight="1" hidden="1" thickBot="1">
      <c r="A18" s="136" t="s">
        <v>13</v>
      </c>
      <c r="B18" s="137"/>
      <c r="C18" s="425" t="s">
        <v>125</v>
      </c>
      <c r="D18" s="395">
        <f aca="true" t="shared" si="3" ref="D18:M18">SUM(D19:D20)</f>
        <v>0</v>
      </c>
      <c r="E18" s="176">
        <f t="shared" si="3"/>
        <v>0</v>
      </c>
      <c r="F18" s="176">
        <f t="shared" si="3"/>
        <v>0</v>
      </c>
      <c r="G18" s="176">
        <f>SUM(G19:G20)</f>
        <v>0</v>
      </c>
      <c r="H18" s="451" t="s">
        <v>234</v>
      </c>
      <c r="I18" s="320"/>
      <c r="J18" s="395">
        <f t="shared" si="3"/>
        <v>0</v>
      </c>
      <c r="K18" s="176">
        <f t="shared" si="3"/>
        <v>0</v>
      </c>
      <c r="L18" s="176">
        <f t="shared" si="3"/>
        <v>0</v>
      </c>
      <c r="M18" s="176">
        <f t="shared" si="3"/>
        <v>0</v>
      </c>
      <c r="N18" s="451" t="s">
        <v>234</v>
      </c>
      <c r="O18" s="320"/>
      <c r="P18" s="389"/>
      <c r="Q18" s="171"/>
      <c r="R18" s="171"/>
      <c r="S18" s="118"/>
    </row>
    <row r="19" spans="1:19" s="124" customFormat="1" ht="15" customHeight="1" hidden="1">
      <c r="A19" s="120"/>
      <c r="B19" s="138" t="s">
        <v>126</v>
      </c>
      <c r="C19" s="423" t="s">
        <v>127</v>
      </c>
      <c r="D19" s="392"/>
      <c r="E19" s="173"/>
      <c r="F19" s="173"/>
      <c r="G19" s="173"/>
      <c r="H19" s="448"/>
      <c r="I19" s="410"/>
      <c r="J19" s="392"/>
      <c r="K19" s="173"/>
      <c r="L19" s="173"/>
      <c r="M19" s="173"/>
      <c r="N19" s="448" t="s">
        <v>234</v>
      </c>
      <c r="O19" s="410"/>
      <c r="P19" s="398"/>
      <c r="Q19" s="399"/>
      <c r="R19" s="399"/>
      <c r="S19" s="230"/>
    </row>
    <row r="20" spans="1:19" s="124" customFormat="1" ht="15" customHeight="1" hidden="1" thickBot="1">
      <c r="A20" s="139"/>
      <c r="B20" s="140" t="s">
        <v>128</v>
      </c>
      <c r="C20" s="426" t="s">
        <v>129</v>
      </c>
      <c r="D20" s="396"/>
      <c r="E20" s="177"/>
      <c r="F20" s="177"/>
      <c r="G20" s="177"/>
      <c r="H20" s="452"/>
      <c r="I20" s="438"/>
      <c r="J20" s="396"/>
      <c r="K20" s="177"/>
      <c r="L20" s="177"/>
      <c r="M20" s="177"/>
      <c r="N20" s="452"/>
      <c r="O20" s="438"/>
      <c r="P20" s="396"/>
      <c r="Q20" s="177"/>
      <c r="R20" s="177"/>
      <c r="S20" s="141"/>
    </row>
    <row r="21" spans="1:19" ht="13.5" hidden="1" thickBot="1">
      <c r="A21" s="142" t="s">
        <v>54</v>
      </c>
      <c r="B21" s="257"/>
      <c r="C21" s="404" t="s">
        <v>130</v>
      </c>
      <c r="D21" s="394"/>
      <c r="E21" s="175"/>
      <c r="F21" s="175"/>
      <c r="G21" s="175"/>
      <c r="H21" s="450"/>
      <c r="I21" s="320"/>
      <c r="J21" s="394"/>
      <c r="K21" s="175"/>
      <c r="L21" s="175"/>
      <c r="M21" s="175"/>
      <c r="N21" s="450"/>
      <c r="O21" s="320"/>
      <c r="P21" s="394"/>
      <c r="Q21" s="175"/>
      <c r="R21" s="175"/>
      <c r="S21" s="134"/>
    </row>
    <row r="22" spans="1:19" s="114" customFormat="1" ht="16.5" customHeight="1" hidden="1" thickBot="1">
      <c r="A22" s="142" t="s">
        <v>55</v>
      </c>
      <c r="B22" s="258"/>
      <c r="C22" s="427" t="s">
        <v>131</v>
      </c>
      <c r="D22" s="397">
        <f aca="true" t="shared" si="4" ref="D22:M22">D17+D21+D18</f>
        <v>0</v>
      </c>
      <c r="E22" s="178">
        <f t="shared" si="4"/>
        <v>0</v>
      </c>
      <c r="F22" s="178">
        <f t="shared" si="4"/>
        <v>0</v>
      </c>
      <c r="G22" s="178">
        <f t="shared" si="4"/>
        <v>0</v>
      </c>
      <c r="H22" s="453" t="s">
        <v>234</v>
      </c>
      <c r="I22" s="320"/>
      <c r="J22" s="397">
        <f t="shared" si="4"/>
        <v>0</v>
      </c>
      <c r="K22" s="178">
        <f t="shared" si="4"/>
        <v>0</v>
      </c>
      <c r="L22" s="178">
        <f t="shared" si="4"/>
        <v>0</v>
      </c>
      <c r="M22" s="178">
        <f t="shared" si="4"/>
        <v>0</v>
      </c>
      <c r="N22" s="453" t="s">
        <v>234</v>
      </c>
      <c r="O22" s="320"/>
      <c r="P22" s="397"/>
      <c r="Q22" s="178"/>
      <c r="R22" s="178"/>
      <c r="S22" s="163"/>
    </row>
    <row r="23" spans="1:19" s="149" customFormat="1" ht="12" customHeight="1" hidden="1">
      <c r="A23" s="146"/>
      <c r="B23" s="146"/>
      <c r="C23" s="147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</row>
    <row r="24" spans="1:18" ht="12" customHeight="1" hidden="1" thickBot="1">
      <c r="A24" s="150"/>
      <c r="B24" s="151"/>
      <c r="C24" s="151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19" ht="12" customHeight="1" hidden="1" thickBot="1">
      <c r="A25" s="153"/>
      <c r="B25" s="154"/>
      <c r="C25" s="155" t="s">
        <v>132</v>
      </c>
      <c r="D25" s="169"/>
      <c r="E25" s="169"/>
      <c r="F25" s="169"/>
      <c r="G25" s="169"/>
      <c r="H25" s="169"/>
      <c r="I25" s="169"/>
      <c r="J25" s="178"/>
      <c r="K25" s="178"/>
      <c r="L25" s="169"/>
      <c r="M25" s="169"/>
      <c r="N25" s="169"/>
      <c r="O25" s="169"/>
      <c r="P25" s="145"/>
      <c r="Q25" s="145"/>
      <c r="R25" s="145"/>
      <c r="S25" s="145"/>
    </row>
    <row r="26" spans="1:19" ht="12" customHeight="1" hidden="1" thickBot="1">
      <c r="A26" s="126" t="s">
        <v>26</v>
      </c>
      <c r="B26" s="156"/>
      <c r="C26" s="400" t="s">
        <v>133</v>
      </c>
      <c r="D26" s="389">
        <f aca="true" t="shared" si="5" ref="D26:M26">SUM(D27:D31)</f>
        <v>0</v>
      </c>
      <c r="E26" s="171">
        <f t="shared" si="5"/>
        <v>0</v>
      </c>
      <c r="F26" s="171">
        <f t="shared" si="5"/>
        <v>0</v>
      </c>
      <c r="G26" s="171">
        <f>SUM(G27:G31)</f>
        <v>0</v>
      </c>
      <c r="H26" s="454" t="s">
        <v>234</v>
      </c>
      <c r="I26" s="385"/>
      <c r="J26" s="389">
        <f t="shared" si="5"/>
        <v>0</v>
      </c>
      <c r="K26" s="171">
        <f t="shared" si="5"/>
        <v>0</v>
      </c>
      <c r="L26" s="171">
        <f t="shared" si="5"/>
        <v>0</v>
      </c>
      <c r="M26" s="171">
        <f t="shared" si="5"/>
        <v>0</v>
      </c>
      <c r="N26" s="454" t="s">
        <v>234</v>
      </c>
      <c r="O26" s="385"/>
      <c r="P26" s="439"/>
      <c r="Q26" s="383"/>
      <c r="R26" s="118"/>
      <c r="S26" s="118"/>
    </row>
    <row r="27" spans="1:19" ht="12" customHeight="1" hidden="1">
      <c r="A27" s="157"/>
      <c r="B27" s="158" t="s">
        <v>107</v>
      </c>
      <c r="C27" s="401" t="s">
        <v>134</v>
      </c>
      <c r="D27" s="407"/>
      <c r="E27" s="179"/>
      <c r="F27" s="179"/>
      <c r="G27" s="179"/>
      <c r="H27" s="455"/>
      <c r="I27" s="386"/>
      <c r="J27" s="407"/>
      <c r="K27" s="179"/>
      <c r="L27" s="179"/>
      <c r="M27" s="179"/>
      <c r="N27" s="455"/>
      <c r="O27" s="386"/>
      <c r="P27" s="440"/>
      <c r="Q27" s="414"/>
      <c r="R27" s="123"/>
      <c r="S27" s="123"/>
    </row>
    <row r="28" spans="1:19" ht="12" customHeight="1" hidden="1">
      <c r="A28" s="159"/>
      <c r="B28" s="160" t="s">
        <v>108</v>
      </c>
      <c r="C28" s="402" t="s">
        <v>49</v>
      </c>
      <c r="D28" s="408"/>
      <c r="E28" s="180"/>
      <c r="F28" s="180"/>
      <c r="G28" s="180"/>
      <c r="H28" s="456"/>
      <c r="I28" s="428"/>
      <c r="J28" s="408"/>
      <c r="K28" s="180"/>
      <c r="L28" s="180"/>
      <c r="M28" s="180"/>
      <c r="N28" s="456"/>
      <c r="O28" s="428"/>
      <c r="P28" s="440"/>
      <c r="Q28" s="414"/>
      <c r="R28" s="123"/>
      <c r="S28" s="123"/>
    </row>
    <row r="29" spans="1:19" ht="12" customHeight="1" hidden="1">
      <c r="A29" s="159"/>
      <c r="B29" s="160" t="s">
        <v>109</v>
      </c>
      <c r="C29" s="402" t="s">
        <v>135</v>
      </c>
      <c r="D29" s="408"/>
      <c r="E29" s="180"/>
      <c r="F29" s="180"/>
      <c r="G29" s="180"/>
      <c r="H29" s="456"/>
      <c r="I29" s="428"/>
      <c r="J29" s="408"/>
      <c r="K29" s="180"/>
      <c r="L29" s="180"/>
      <c r="M29" s="180"/>
      <c r="N29" s="456"/>
      <c r="O29" s="428"/>
      <c r="P29" s="440"/>
      <c r="Q29" s="414"/>
      <c r="R29" s="123"/>
      <c r="S29" s="123"/>
    </row>
    <row r="30" spans="1:19" s="149" customFormat="1" ht="12" customHeight="1" hidden="1">
      <c r="A30" s="159"/>
      <c r="B30" s="160" t="s">
        <v>110</v>
      </c>
      <c r="C30" s="402" t="s">
        <v>78</v>
      </c>
      <c r="D30" s="408"/>
      <c r="E30" s="180"/>
      <c r="F30" s="180"/>
      <c r="G30" s="180"/>
      <c r="H30" s="456"/>
      <c r="I30" s="429"/>
      <c r="J30" s="408"/>
      <c r="K30" s="180"/>
      <c r="L30" s="180"/>
      <c r="M30" s="180"/>
      <c r="N30" s="456"/>
      <c r="O30" s="429"/>
      <c r="P30" s="440"/>
      <c r="Q30" s="414"/>
      <c r="R30" s="123"/>
      <c r="S30" s="123"/>
    </row>
    <row r="31" spans="1:19" ht="12" customHeight="1" hidden="1" thickBot="1">
      <c r="A31" s="159"/>
      <c r="B31" s="160" t="s">
        <v>48</v>
      </c>
      <c r="C31" s="402" t="s">
        <v>80</v>
      </c>
      <c r="D31" s="408"/>
      <c r="E31" s="180"/>
      <c r="F31" s="180"/>
      <c r="G31" s="180"/>
      <c r="H31" s="456"/>
      <c r="I31" s="430"/>
      <c r="J31" s="408"/>
      <c r="K31" s="180"/>
      <c r="L31" s="180"/>
      <c r="M31" s="180"/>
      <c r="N31" s="456"/>
      <c r="O31" s="430"/>
      <c r="P31" s="441"/>
      <c r="Q31" s="415"/>
      <c r="R31" s="161"/>
      <c r="S31" s="161"/>
    </row>
    <row r="32" spans="1:19" ht="12" customHeight="1" hidden="1" thickBot="1">
      <c r="A32" s="126" t="s">
        <v>27</v>
      </c>
      <c r="B32" s="156"/>
      <c r="C32" s="400" t="s">
        <v>136</v>
      </c>
      <c r="D32" s="389">
        <f>SUM(D33:D36)</f>
        <v>0</v>
      </c>
      <c r="E32" s="171">
        <f>SUM(E33:E36)</f>
        <v>0</v>
      </c>
      <c r="F32" s="171">
        <f>SUM(F33:F36)</f>
        <v>0</v>
      </c>
      <c r="G32" s="171">
        <f>SUM(G33:G36)</f>
        <v>0</v>
      </c>
      <c r="H32" s="454"/>
      <c r="I32" s="387"/>
      <c r="J32" s="389"/>
      <c r="K32" s="171"/>
      <c r="L32" s="171">
        <f>SUM(L33:L36)</f>
        <v>0</v>
      </c>
      <c r="M32" s="171">
        <f>SUM(M33:M36)</f>
        <v>0</v>
      </c>
      <c r="N32" s="454"/>
      <c r="O32" s="387"/>
      <c r="P32" s="439"/>
      <c r="Q32" s="383"/>
      <c r="R32" s="118"/>
      <c r="S32" s="118"/>
    </row>
    <row r="33" spans="1:19" ht="12" customHeight="1" hidden="1">
      <c r="A33" s="157"/>
      <c r="B33" s="158" t="s">
        <v>137</v>
      </c>
      <c r="C33" s="401" t="s">
        <v>90</v>
      </c>
      <c r="D33" s="407"/>
      <c r="E33" s="179"/>
      <c r="F33" s="179"/>
      <c r="G33" s="179"/>
      <c r="H33" s="455"/>
      <c r="I33" s="429"/>
      <c r="J33" s="407"/>
      <c r="K33" s="179"/>
      <c r="L33" s="179"/>
      <c r="M33" s="179"/>
      <c r="N33" s="455"/>
      <c r="O33" s="429"/>
      <c r="P33" s="440"/>
      <c r="Q33" s="414"/>
      <c r="R33" s="123"/>
      <c r="S33" s="123"/>
    </row>
    <row r="34" spans="1:19" ht="12" customHeight="1" hidden="1">
      <c r="A34" s="159"/>
      <c r="B34" s="160" t="s">
        <v>138</v>
      </c>
      <c r="C34" s="402" t="s">
        <v>91</v>
      </c>
      <c r="D34" s="408">
        <v>0</v>
      </c>
      <c r="E34" s="180">
        <v>0</v>
      </c>
      <c r="F34" s="180">
        <v>0</v>
      </c>
      <c r="G34" s="180">
        <v>0</v>
      </c>
      <c r="H34" s="456"/>
      <c r="I34" s="430"/>
      <c r="J34" s="408"/>
      <c r="K34" s="180"/>
      <c r="L34" s="180">
        <v>0</v>
      </c>
      <c r="M34" s="180">
        <v>0</v>
      </c>
      <c r="N34" s="456"/>
      <c r="O34" s="430"/>
      <c r="P34" s="441"/>
      <c r="Q34" s="415"/>
      <c r="R34" s="161"/>
      <c r="S34" s="161"/>
    </row>
    <row r="35" spans="1:19" ht="15" customHeight="1" hidden="1">
      <c r="A35" s="159"/>
      <c r="B35" s="160" t="s">
        <v>139</v>
      </c>
      <c r="C35" s="402" t="s">
        <v>140</v>
      </c>
      <c r="D35" s="408"/>
      <c r="E35" s="180"/>
      <c r="F35" s="180"/>
      <c r="G35" s="180"/>
      <c r="H35" s="456"/>
      <c r="I35" s="430"/>
      <c r="J35" s="408"/>
      <c r="K35" s="180"/>
      <c r="L35" s="180"/>
      <c r="M35" s="180"/>
      <c r="N35" s="456"/>
      <c r="O35" s="430"/>
      <c r="P35" s="441"/>
      <c r="Q35" s="415"/>
      <c r="R35" s="161"/>
      <c r="S35" s="161"/>
    </row>
    <row r="36" spans="1:19" ht="13.5" hidden="1" thickBot="1">
      <c r="A36" s="159"/>
      <c r="B36" s="160" t="s">
        <v>141</v>
      </c>
      <c r="C36" s="402" t="s">
        <v>142</v>
      </c>
      <c r="D36" s="408"/>
      <c r="E36" s="180"/>
      <c r="F36" s="180"/>
      <c r="G36" s="180"/>
      <c r="H36" s="456"/>
      <c r="I36" s="430"/>
      <c r="J36" s="408"/>
      <c r="K36" s="180"/>
      <c r="L36" s="180"/>
      <c r="M36" s="180"/>
      <c r="N36" s="456"/>
      <c r="O36" s="430"/>
      <c r="P36" s="441"/>
      <c r="Q36" s="415"/>
      <c r="R36" s="161"/>
      <c r="S36" s="161"/>
    </row>
    <row r="37" spans="1:19" ht="15" customHeight="1" hidden="1" thickBot="1">
      <c r="A37" s="126" t="s">
        <v>9</v>
      </c>
      <c r="B37" s="156"/>
      <c r="C37" s="403" t="s">
        <v>222</v>
      </c>
      <c r="D37" s="394"/>
      <c r="E37" s="175"/>
      <c r="F37" s="175"/>
      <c r="G37" s="175"/>
      <c r="H37" s="457" t="s">
        <v>234</v>
      </c>
      <c r="I37" s="385"/>
      <c r="J37" s="394"/>
      <c r="K37" s="175"/>
      <c r="L37" s="175"/>
      <c r="M37" s="175"/>
      <c r="N37" s="457" t="s">
        <v>234</v>
      </c>
      <c r="O37" s="385"/>
      <c r="P37" s="442"/>
      <c r="Q37" s="384"/>
      <c r="R37" s="134"/>
      <c r="S37" s="134"/>
    </row>
    <row r="38" spans="1:19" ht="14.25" customHeight="1" hidden="1" thickBot="1">
      <c r="A38" s="142" t="s">
        <v>10</v>
      </c>
      <c r="B38" s="257"/>
      <c r="C38" s="404" t="s">
        <v>144</v>
      </c>
      <c r="D38" s="394"/>
      <c r="E38" s="175"/>
      <c r="F38" s="175"/>
      <c r="G38" s="175"/>
      <c r="H38" s="457"/>
      <c r="I38" s="385"/>
      <c r="J38" s="394"/>
      <c r="K38" s="175"/>
      <c r="L38" s="175"/>
      <c r="M38" s="175"/>
      <c r="N38" s="457"/>
      <c r="O38" s="385"/>
      <c r="P38" s="442"/>
      <c r="Q38" s="384"/>
      <c r="R38" s="134"/>
      <c r="S38" s="134"/>
    </row>
    <row r="39" spans="1:19" ht="13.5" hidden="1" thickBot="1">
      <c r="A39" s="126" t="s">
        <v>11</v>
      </c>
      <c r="B39" s="162"/>
      <c r="C39" s="405" t="s">
        <v>145</v>
      </c>
      <c r="D39" s="397">
        <f aca="true" t="shared" si="6" ref="D39:M39">D26+D32+D37+D38</f>
        <v>0</v>
      </c>
      <c r="E39" s="178">
        <f t="shared" si="6"/>
        <v>0</v>
      </c>
      <c r="F39" s="178">
        <f t="shared" si="6"/>
        <v>0</v>
      </c>
      <c r="G39" s="178">
        <f t="shared" si="6"/>
        <v>0</v>
      </c>
      <c r="H39" s="458" t="s">
        <v>234</v>
      </c>
      <c r="I39" s="385"/>
      <c r="J39" s="397">
        <f t="shared" si="6"/>
        <v>0</v>
      </c>
      <c r="K39" s="178">
        <f t="shared" si="6"/>
        <v>0</v>
      </c>
      <c r="L39" s="178">
        <f t="shared" si="6"/>
        <v>0</v>
      </c>
      <c r="M39" s="178">
        <f t="shared" si="6"/>
        <v>0</v>
      </c>
      <c r="N39" s="458" t="s">
        <v>234</v>
      </c>
      <c r="O39" s="385"/>
      <c r="P39" s="443"/>
      <c r="Q39" s="145"/>
      <c r="R39" s="163"/>
      <c r="S39" s="163"/>
    </row>
    <row r="40" spans="1:19" ht="13.5" hidden="1" thickBot="1">
      <c r="A40" s="259"/>
      <c r="B40" s="260"/>
      <c r="C40" s="260"/>
      <c r="D40" s="434"/>
      <c r="E40" s="435"/>
      <c r="F40" s="435"/>
      <c r="G40" s="435"/>
      <c r="H40" s="459"/>
      <c r="I40" s="261"/>
      <c r="J40" s="434"/>
      <c r="K40" s="435"/>
      <c r="L40" s="435"/>
      <c r="M40" s="435"/>
      <c r="N40" s="459"/>
      <c r="O40" s="261"/>
      <c r="P40" s="444"/>
      <c r="Q40" s="261"/>
      <c r="R40" s="261"/>
      <c r="S40" s="261"/>
    </row>
    <row r="41" spans="1:19" ht="13.5" hidden="1" thickBot="1">
      <c r="A41" s="166" t="s">
        <v>146</v>
      </c>
      <c r="B41" s="167"/>
      <c r="C41" s="406"/>
      <c r="D41" s="420"/>
      <c r="E41" s="183"/>
      <c r="F41" s="183"/>
      <c r="G41" s="183"/>
      <c r="H41" s="460"/>
      <c r="I41" s="385"/>
      <c r="J41" s="420"/>
      <c r="K41" s="183"/>
      <c r="L41" s="183"/>
      <c r="M41" s="183"/>
      <c r="N41" s="460"/>
      <c r="O41" s="385"/>
      <c r="P41" s="445"/>
      <c r="Q41" s="182"/>
      <c r="R41" s="182"/>
      <c r="S41" s="182"/>
    </row>
    <row r="42" spans="1:19" ht="13.5" hidden="1" thickBot="1">
      <c r="A42" s="166" t="s">
        <v>147</v>
      </c>
      <c r="B42" s="167"/>
      <c r="C42" s="406"/>
      <c r="D42" s="420"/>
      <c r="E42" s="183"/>
      <c r="F42" s="183"/>
      <c r="G42" s="183"/>
      <c r="H42" s="460"/>
      <c r="I42" s="385"/>
      <c r="J42" s="420"/>
      <c r="K42" s="183"/>
      <c r="L42" s="183"/>
      <c r="M42" s="183"/>
      <c r="N42" s="460"/>
      <c r="O42" s="385"/>
      <c r="P42" s="445"/>
      <c r="Q42" s="182"/>
      <c r="R42" s="182"/>
      <c r="S42" s="182"/>
    </row>
    <row r="43" ht="12.75" hidden="1"/>
    <row r="44" spans="1:9" ht="12.75" hidden="1">
      <c r="A44" s="1385" t="s">
        <v>148</v>
      </c>
      <c r="B44" s="1385"/>
      <c r="C44" s="1385"/>
      <c r="D44" s="1385"/>
      <c r="E44" s="246"/>
      <c r="F44" s="246"/>
      <c r="G44" s="246"/>
      <c r="H44" s="246"/>
      <c r="I44" s="246"/>
    </row>
    <row r="45" spans="1:9" ht="12.75" hidden="1">
      <c r="A45" s="1385"/>
      <c r="B45" s="1385"/>
      <c r="C45" s="1385"/>
      <c r="E45" s="263"/>
      <c r="F45" s="263"/>
      <c r="G45" s="263"/>
      <c r="H45" s="263"/>
      <c r="I45" s="263"/>
    </row>
    <row r="46" spans="4:9" ht="12.75" hidden="1">
      <c r="D46" s="263">
        <v>0</v>
      </c>
      <c r="E46" s="263"/>
      <c r="F46" s="263"/>
      <c r="G46" s="263"/>
      <c r="H46" s="263"/>
      <c r="I46" s="263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zoomScale="70" zoomScaleNormal="70" workbookViewId="0" topLeftCell="A31">
      <selection activeCell="X9" sqref="X9"/>
    </sheetView>
  </sheetViews>
  <sheetFormatPr defaultColWidth="9.140625" defaultRowHeight="12.75"/>
  <cols>
    <col min="1" max="1" width="7.7109375" style="79" customWidth="1"/>
    <col min="2" max="2" width="3.8515625" style="86" customWidth="1"/>
    <col min="3" max="3" width="5.28125" style="86" customWidth="1"/>
    <col min="4" max="4" width="66.57421875" style="87" customWidth="1"/>
    <col min="5" max="5" width="27.28125" style="1" customWidth="1"/>
    <col min="6" max="6" width="30.8515625" style="1" customWidth="1"/>
    <col min="7" max="7" width="26.00390625" style="1" customWidth="1"/>
    <col min="8" max="8" width="28.7109375" style="1" customWidth="1"/>
    <col min="9" max="10" width="20.421875" style="1" hidden="1" customWidth="1"/>
    <col min="11" max="11" width="20.421875" style="42" customWidth="1"/>
    <col min="12" max="12" width="21.28125" style="42" customWidth="1"/>
    <col min="13" max="13" width="23.8515625" style="42" customWidth="1"/>
    <col min="14" max="14" width="22.8515625" style="42" customWidth="1"/>
    <col min="15" max="17" width="22.8515625" style="42" hidden="1" customWidth="1"/>
    <col min="18" max="21" width="22.8515625" style="42" customWidth="1"/>
    <col min="22" max="23" width="22.8515625" style="42" hidden="1" customWidth="1"/>
    <col min="24" max="24" width="22.8515625" style="42" customWidth="1"/>
    <col min="25" max="25" width="23.57421875" style="1" customWidth="1"/>
    <col min="26" max="26" width="28.00390625" style="1" customWidth="1"/>
    <col min="27" max="27" width="22.8515625" style="1" customWidth="1"/>
    <col min="28" max="31" width="22.8515625" style="1" hidden="1" customWidth="1"/>
    <col min="32" max="32" width="22.8515625" style="1" customWidth="1"/>
    <col min="33" max="16384" width="9.140625" style="1" customWidth="1"/>
  </cols>
  <sheetData>
    <row r="1" spans="1:24" ht="24.75" customHeight="1">
      <c r="A1" s="1347" t="s">
        <v>7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  <c r="L1" s="1347"/>
      <c r="M1" s="1347"/>
      <c r="N1" s="1347"/>
      <c r="O1" s="1347"/>
      <c r="P1" s="1347"/>
      <c r="Q1" s="1347"/>
      <c r="R1" s="1347"/>
      <c r="S1" s="1347"/>
      <c r="T1" s="1347"/>
      <c r="U1" s="1347"/>
      <c r="V1" s="1347"/>
      <c r="W1" s="1347"/>
      <c r="X1" s="1347"/>
    </row>
    <row r="2" spans="1:24" ht="14.25" customHeight="1" thickBot="1">
      <c r="A2" s="765" t="s">
        <v>192</v>
      </c>
      <c r="B2" s="765"/>
      <c r="C2" s="78"/>
      <c r="D2" s="97"/>
      <c r="X2" s="94" t="s">
        <v>425</v>
      </c>
    </row>
    <row r="3" spans="1:30" s="2" customFormat="1" ht="48.75" customHeight="1" thickBot="1">
      <c r="A3" s="1348" t="s">
        <v>3</v>
      </c>
      <c r="B3" s="1311"/>
      <c r="C3" s="1311"/>
      <c r="D3" s="1311"/>
      <c r="E3" s="369" t="s">
        <v>4</v>
      </c>
      <c r="F3" s="328"/>
      <c r="G3" s="328"/>
      <c r="H3" s="329"/>
      <c r="I3" s="754"/>
      <c r="J3" s="329"/>
      <c r="K3" s="369" t="s">
        <v>58</v>
      </c>
      <c r="L3" s="328"/>
      <c r="M3" s="328"/>
      <c r="N3" s="329"/>
      <c r="O3" s="754"/>
      <c r="P3" s="760"/>
      <c r="Q3" s="329"/>
      <c r="R3" s="369" t="s">
        <v>59</v>
      </c>
      <c r="S3" s="328"/>
      <c r="T3" s="328"/>
      <c r="U3" s="329"/>
      <c r="V3" s="754"/>
      <c r="W3" s="329"/>
      <c r="X3" s="1350" t="s">
        <v>63</v>
      </c>
      <c r="Y3" s="1351"/>
      <c r="Z3" s="1351"/>
      <c r="AA3" s="1351"/>
      <c r="AB3" s="1351"/>
      <c r="AC3" s="1351"/>
      <c r="AD3" s="1352"/>
    </row>
    <row r="4" spans="1:31" s="2" customFormat="1" ht="16.5" thickBot="1">
      <c r="A4" s="245"/>
      <c r="B4" s="243"/>
      <c r="C4" s="243"/>
      <c r="D4" s="243"/>
      <c r="E4" s="293" t="s">
        <v>62</v>
      </c>
      <c r="F4" s="294" t="s">
        <v>215</v>
      </c>
      <c r="G4" s="294" t="s">
        <v>218</v>
      </c>
      <c r="H4" s="295" t="s">
        <v>220</v>
      </c>
      <c r="I4" s="1146" t="s">
        <v>232</v>
      </c>
      <c r="J4" s="295" t="s">
        <v>237</v>
      </c>
      <c r="K4" s="293" t="s">
        <v>62</v>
      </c>
      <c r="L4" s="294" t="s">
        <v>215</v>
      </c>
      <c r="M4" s="294" t="s">
        <v>218</v>
      </c>
      <c r="N4" s="295" t="s">
        <v>220</v>
      </c>
      <c r="O4" s="1146" t="s">
        <v>232</v>
      </c>
      <c r="P4" s="294" t="s">
        <v>237</v>
      </c>
      <c r="Q4" s="295" t="s">
        <v>224</v>
      </c>
      <c r="R4" s="293" t="s">
        <v>62</v>
      </c>
      <c r="S4" s="294" t="s">
        <v>215</v>
      </c>
      <c r="T4" s="294" t="s">
        <v>218</v>
      </c>
      <c r="U4" s="295" t="s">
        <v>220</v>
      </c>
      <c r="V4" s="1146" t="s">
        <v>232</v>
      </c>
      <c r="W4" s="295" t="s">
        <v>237</v>
      </c>
      <c r="X4" s="293" t="s">
        <v>62</v>
      </c>
      <c r="Y4" s="294" t="s">
        <v>215</v>
      </c>
      <c r="Z4" s="294" t="s">
        <v>218</v>
      </c>
      <c r="AA4" s="294" t="s">
        <v>220</v>
      </c>
      <c r="AB4" s="294" t="s">
        <v>232</v>
      </c>
      <c r="AC4" s="294" t="s">
        <v>237</v>
      </c>
      <c r="AD4" s="295" t="s">
        <v>237</v>
      </c>
      <c r="AE4" s="752"/>
    </row>
    <row r="5" spans="1:30" s="41" customFormat="1" ht="33" customHeight="1" thickBot="1">
      <c r="A5" s="71" t="s">
        <v>26</v>
      </c>
      <c r="B5" s="1349" t="s">
        <v>75</v>
      </c>
      <c r="C5" s="1349"/>
      <c r="D5" s="1349"/>
      <c r="E5" s="296">
        <f aca="true" t="shared" si="0" ref="E5:P5">SUM(E6:E10)</f>
        <v>560825860</v>
      </c>
      <c r="F5" s="239">
        <f t="shared" si="0"/>
        <v>569229818</v>
      </c>
      <c r="G5" s="239">
        <f t="shared" si="0"/>
        <v>566250873</v>
      </c>
      <c r="H5" s="724">
        <f>SUM(H6:H10)</f>
        <v>679471534</v>
      </c>
      <c r="I5" s="1135">
        <f>SUM(I6:I10)</f>
        <v>0</v>
      </c>
      <c r="J5" s="296">
        <f>SUM(J6:J10)</f>
        <v>0</v>
      </c>
      <c r="K5" s="296">
        <f t="shared" si="0"/>
        <v>533576605</v>
      </c>
      <c r="L5" s="239">
        <f>SUM(L6:L10)</f>
        <v>534370563</v>
      </c>
      <c r="M5" s="239">
        <f>SUM(M6:M10)</f>
        <v>531391618</v>
      </c>
      <c r="N5" s="724">
        <f>SUM(N6:N10)</f>
        <v>649757034</v>
      </c>
      <c r="O5" s="1135">
        <f t="shared" si="0"/>
        <v>-14014529</v>
      </c>
      <c r="P5" s="239">
        <f t="shared" si="0"/>
        <v>0</v>
      </c>
      <c r="Q5" s="663" t="e">
        <f>#REF!/N5</f>
        <v>#REF!</v>
      </c>
      <c r="R5" s="296">
        <f aca="true" t="shared" si="1" ref="R5:Z5">SUM(R6:R10)</f>
        <v>27249255</v>
      </c>
      <c r="S5" s="239">
        <f>SUM(S6:S10)</f>
        <v>34859255</v>
      </c>
      <c r="T5" s="239">
        <f>SUM(T6:T10)</f>
        <v>34859255</v>
      </c>
      <c r="U5" s="724">
        <f>SUM(U6:U10)</f>
        <v>29714500</v>
      </c>
      <c r="V5" s="1135">
        <f>SUM(V6:V10)</f>
        <v>14014529</v>
      </c>
      <c r="W5" s="239">
        <f>SUM(W6:W10)</f>
        <v>0</v>
      </c>
      <c r="X5" s="296">
        <f t="shared" si="1"/>
        <v>7923383</v>
      </c>
      <c r="Y5" s="239">
        <f t="shared" si="1"/>
        <v>7923383</v>
      </c>
      <c r="Z5" s="239">
        <f t="shared" si="1"/>
        <v>7923383</v>
      </c>
      <c r="AA5" s="239">
        <f>SUM(AA6:AA10)</f>
        <v>7923383</v>
      </c>
      <c r="AB5" s="239">
        <f>SUM(AB6:AB10)</f>
        <v>5610894</v>
      </c>
      <c r="AC5" s="239">
        <f>SUM(AC6:AC10)</f>
        <v>0</v>
      </c>
      <c r="AD5" s="724">
        <f>SUM(AD6:AD10)</f>
        <v>0</v>
      </c>
    </row>
    <row r="6" spans="1:30" s="5" customFormat="1" ht="33" customHeight="1">
      <c r="A6" s="70"/>
      <c r="B6" s="75" t="s">
        <v>34</v>
      </c>
      <c r="C6" s="75"/>
      <c r="D6" s="287" t="s">
        <v>0</v>
      </c>
      <c r="E6" s="297">
        <f>'4.sz.m.ÖNK kiadás'!E8+'5.1 sz. m Köz Hiv'!D35+'5.2 sz. m ÁMK'!D38+'üres lap'!D27</f>
        <v>222688836</v>
      </c>
      <c r="F6" s="241">
        <f>'4.sz.m.ÖNK kiadás'!F8+'5.1 sz. m Köz Hiv'!E35+'5.2 sz. m ÁMK'!E38+'üres lap'!E27</f>
        <v>222688836</v>
      </c>
      <c r="G6" s="241">
        <f>'4.sz.m.ÖNK kiadás'!G8+'5.1 sz. m Köz Hiv'!F35+'5.2 sz. m ÁMK'!F38+'üres lap'!F27</f>
        <v>223920014</v>
      </c>
      <c r="H6" s="725">
        <f>'4.sz.m.ÖNK kiadás'!H8+'5.1 sz. m Köz Hiv'!G35+'5.2 sz. m ÁMK'!G38+'üres lap'!G27</f>
        <v>218225799</v>
      </c>
      <c r="I6" s="1147">
        <f>'4.sz.m.ÖNK kiadás'!I8+'5.1 sz. m Köz Hiv'!H35+'5.2 sz. m ÁMK'!H38+'üres lap'!H27</f>
        <v>0</v>
      </c>
      <c r="J6" s="297">
        <f>'4.sz.m.ÖNK kiadás'!J8+'5.1 sz. m Köz Hiv'!I35+'5.2 sz. m ÁMK'!I38+'üres lap'!I27</f>
        <v>0</v>
      </c>
      <c r="K6" s="297">
        <f aca="true" t="shared" si="2" ref="K6:P13">E6-R6</f>
        <v>218453213</v>
      </c>
      <c r="L6" s="241">
        <f t="shared" si="2"/>
        <v>218453213</v>
      </c>
      <c r="M6" s="241">
        <f t="shared" si="2"/>
        <v>219684391</v>
      </c>
      <c r="N6" s="725">
        <f t="shared" si="2"/>
        <v>214320176</v>
      </c>
      <c r="O6" s="1147">
        <f t="shared" si="2"/>
        <v>0</v>
      </c>
      <c r="P6" s="241">
        <f t="shared" si="2"/>
        <v>0</v>
      </c>
      <c r="Q6" s="669" t="e">
        <f>#REF!/N6</f>
        <v>#REF!</v>
      </c>
      <c r="R6" s="297">
        <f>'4.sz.m.ÖNK kiadás'!S8+'5.1 sz. m Köz Hiv'!S35</f>
        <v>4235623</v>
      </c>
      <c r="S6" s="241">
        <f>'4.sz.m.ÖNK kiadás'!T8+'5.1 sz. m Köz Hiv'!T35</f>
        <v>4235623</v>
      </c>
      <c r="T6" s="241">
        <f>'4.sz.m.ÖNK kiadás'!U8+'5.1 sz. m Köz Hiv'!U35</f>
        <v>4235623</v>
      </c>
      <c r="U6" s="725">
        <f>'4.sz.m.ÖNK kiadás'!V8+'5.1 sz. m Köz Hiv'!V35</f>
        <v>3905623</v>
      </c>
      <c r="V6" s="1147">
        <f>'4.sz.m.ÖNK kiadás'!W8</f>
        <v>0</v>
      </c>
      <c r="W6" s="241">
        <f>'4.sz.m.ÖNK kiadás'!X8</f>
        <v>0</v>
      </c>
      <c r="X6" s="297">
        <f>'5.1 sz. m Köz Hiv'!W35</f>
        <v>5806094</v>
      </c>
      <c r="Y6" s="241">
        <f>'5.1 sz. m Köz Hiv'!X35</f>
        <v>5806094</v>
      </c>
      <c r="Z6" s="241">
        <f>'5.1 sz. m Köz Hiv'!Y35</f>
        <v>5806094</v>
      </c>
      <c r="AA6" s="241">
        <f>'5.1 sz. m Köz Hiv'!Z35</f>
        <v>5806094</v>
      </c>
      <c r="AB6" s="241">
        <f>'5.1 sz. m Köz Hiv'!AA35</f>
        <v>3626473</v>
      </c>
      <c r="AC6" s="241">
        <f>'5.1 sz. m Köz Hiv'!AB35</f>
        <v>0</v>
      </c>
      <c r="AD6" s="725">
        <f>'5.1 sz. m Köz Hiv'!AE35</f>
        <v>0</v>
      </c>
    </row>
    <row r="7" spans="1:30" s="5" customFormat="1" ht="33" customHeight="1">
      <c r="A7" s="53"/>
      <c r="B7" s="62" t="s">
        <v>35</v>
      </c>
      <c r="C7" s="62"/>
      <c r="D7" s="288" t="s">
        <v>76</v>
      </c>
      <c r="E7" s="297">
        <f>'4.sz.m.ÖNK kiadás'!E9+'5.1 sz. m Köz Hiv'!D36+'5.2 sz. m ÁMK'!D39+'üres lap'!D28</f>
        <v>38852584</v>
      </c>
      <c r="F7" s="241">
        <f>'4.sz.m.ÖNK kiadás'!F9+'5.1 sz. m Köz Hiv'!E36+'5.2 sz. m ÁMK'!E39+'üres lap'!E28</f>
        <v>38852584</v>
      </c>
      <c r="G7" s="241">
        <f>'4.sz.m.ÖNK kiadás'!G9+'5.1 sz. m Köz Hiv'!F36+'5.2 sz. m ÁMK'!F39+'üres lap'!F28</f>
        <v>38957251</v>
      </c>
      <c r="H7" s="725">
        <f>'4.sz.m.ÖNK kiadás'!H9+'5.1 sz. m Köz Hiv'!G36+'5.2 sz. m ÁMK'!G39+'üres lap'!G28</f>
        <v>36670020</v>
      </c>
      <c r="I7" s="1147">
        <f>'4.sz.m.ÖNK kiadás'!I9+'5.1 sz. m Köz Hiv'!H36+'5.2 sz. m ÁMK'!H39+'üres lap'!H28</f>
        <v>0</v>
      </c>
      <c r="J7" s="297">
        <f>'4.sz.m.ÖNK kiadás'!J9+'5.1 sz. m Köz Hiv'!I36+'5.2 sz. m ÁMK'!I39+'üres lap'!I28</f>
        <v>0</v>
      </c>
      <c r="K7" s="297">
        <f t="shared" si="2"/>
        <v>38159574</v>
      </c>
      <c r="L7" s="241">
        <f t="shared" si="2"/>
        <v>38159574</v>
      </c>
      <c r="M7" s="241">
        <f t="shared" si="2"/>
        <v>38264241</v>
      </c>
      <c r="N7" s="725">
        <f t="shared" si="2"/>
        <v>35939217</v>
      </c>
      <c r="O7" s="1147">
        <f t="shared" si="2"/>
        <v>0</v>
      </c>
      <c r="P7" s="241">
        <f t="shared" si="2"/>
        <v>0</v>
      </c>
      <c r="Q7" s="669" t="e">
        <f>#REF!/N7</f>
        <v>#REF!</v>
      </c>
      <c r="R7" s="297">
        <f>'4.sz.m.ÖNK kiadás'!S9+'5.1 sz. m Köz Hiv'!S36</f>
        <v>693010</v>
      </c>
      <c r="S7" s="241">
        <f>'4.sz.m.ÖNK kiadás'!T9+'5.1 sz. m Köz Hiv'!T36</f>
        <v>693010</v>
      </c>
      <c r="T7" s="241">
        <f>'4.sz.m.ÖNK kiadás'!U9+'5.1 sz. m Köz Hiv'!U36</f>
        <v>693010</v>
      </c>
      <c r="U7" s="725">
        <f>'4.sz.m.ÖNK kiadás'!V9+'5.1 sz. m Köz Hiv'!V36</f>
        <v>730803</v>
      </c>
      <c r="V7" s="1147">
        <f>'4.sz.m.ÖNK kiadás'!W9</f>
        <v>0</v>
      </c>
      <c r="W7" s="241">
        <f>'4.sz.m.ÖNK kiadás'!X9</f>
        <v>0</v>
      </c>
      <c r="X7" s="297">
        <f>'5.1 sz. m Köz Hiv'!W36</f>
        <v>1031148</v>
      </c>
      <c r="Y7" s="241">
        <f>'5.1 sz. m Köz Hiv'!X36</f>
        <v>1031148</v>
      </c>
      <c r="Z7" s="241">
        <f>'5.1 sz. m Köz Hiv'!Y36</f>
        <v>1031148</v>
      </c>
      <c r="AA7" s="241">
        <f>'5.1 sz. m Köz Hiv'!Z36</f>
        <v>1031148</v>
      </c>
      <c r="AB7" s="241">
        <f>'5.1 sz. m Köz Hiv'!AA36</f>
        <v>799596</v>
      </c>
      <c r="AC7" s="241">
        <f>'5.1 sz. m Köz Hiv'!AB36</f>
        <v>0</v>
      </c>
      <c r="AD7" s="725">
        <f>'5.1 sz. m Köz Hiv'!AE36</f>
        <v>0</v>
      </c>
    </row>
    <row r="8" spans="1:30" s="5" customFormat="1" ht="33" customHeight="1">
      <c r="A8" s="53"/>
      <c r="B8" s="62" t="s">
        <v>36</v>
      </c>
      <c r="C8" s="62"/>
      <c r="D8" s="288" t="s">
        <v>77</v>
      </c>
      <c r="E8" s="297">
        <f>'4.sz.m.ÖNK kiadás'!E10+'5.1 sz. m Köz Hiv'!D37+'5.2 sz. m ÁMK'!D40+'üres lap'!D29</f>
        <v>145494788</v>
      </c>
      <c r="F8" s="241">
        <f>'4.sz.m.ÖNK kiadás'!F10+'5.1 sz. m Köz Hiv'!E37+'5.2 sz. m ÁMK'!E40+'üres lap'!E29</f>
        <v>146164688</v>
      </c>
      <c r="G8" s="241">
        <f>'4.sz.m.ÖNK kiadás'!G10+'5.1 sz. m Köz Hiv'!F37+'5.2 sz. m ÁMK'!F40+'üres lap'!F29</f>
        <v>144823418</v>
      </c>
      <c r="H8" s="725">
        <f>'4.sz.m.ÖNK kiadás'!H10+'5.1 sz. m Köz Hiv'!G37+'5.2 sz. m ÁMK'!G40+'üres lap'!G29</f>
        <v>265634060</v>
      </c>
      <c r="I8" s="1147">
        <f>'4.sz.m.ÖNK kiadás'!I10+'5.1 sz. m Köz Hiv'!H37+'5.2 sz. m ÁMK'!H40+'üres lap'!H29</f>
        <v>0</v>
      </c>
      <c r="J8" s="297">
        <f>'4.sz.m.ÖNK kiadás'!J10+'5.1 sz. m Köz Hiv'!I37+'5.2 sz. m ÁMK'!I40+'üres lap'!I29</f>
        <v>0</v>
      </c>
      <c r="K8" s="297">
        <f t="shared" si="2"/>
        <v>130123609</v>
      </c>
      <c r="L8" s="241">
        <f t="shared" si="2"/>
        <v>130793509</v>
      </c>
      <c r="M8" s="241">
        <f t="shared" si="2"/>
        <v>129452239</v>
      </c>
      <c r="N8" s="725">
        <f t="shared" si="2"/>
        <v>253396801</v>
      </c>
      <c r="O8" s="1147">
        <f t="shared" si="2"/>
        <v>0</v>
      </c>
      <c r="P8" s="241">
        <f t="shared" si="2"/>
        <v>0</v>
      </c>
      <c r="Q8" s="669" t="e">
        <f>#REF!/N8</f>
        <v>#REF!</v>
      </c>
      <c r="R8" s="297">
        <f>'4.sz.m.ÖNK kiadás'!S10</f>
        <v>15371179</v>
      </c>
      <c r="S8" s="241">
        <f>'4.sz.m.ÖNK kiadás'!T10</f>
        <v>15371179</v>
      </c>
      <c r="T8" s="241">
        <f>'4.sz.m.ÖNK kiadás'!U10</f>
        <v>15371179</v>
      </c>
      <c r="U8" s="725">
        <f>'4.sz.m.ÖNK kiadás'!V10</f>
        <v>12237259</v>
      </c>
      <c r="V8" s="1147">
        <f>'4.sz.m.ÖNK kiadás'!W10</f>
        <v>0</v>
      </c>
      <c r="W8" s="241">
        <f>'4.sz.m.ÖNK kiadás'!X10</f>
        <v>0</v>
      </c>
      <c r="X8" s="297">
        <f>'5.1 sz. m Köz Hiv'!W37</f>
        <v>1086141</v>
      </c>
      <c r="Y8" s="241">
        <f>'5.1 sz. m Köz Hiv'!X37</f>
        <v>1086141</v>
      </c>
      <c r="Z8" s="241">
        <f>'5.1 sz. m Köz Hiv'!Y37</f>
        <v>1086141</v>
      </c>
      <c r="AA8" s="241">
        <f>'5.1 sz. m Köz Hiv'!Z37</f>
        <v>1086141</v>
      </c>
      <c r="AB8" s="241">
        <f>'5.1 sz. m Köz Hiv'!AA37</f>
        <v>1184825</v>
      </c>
      <c r="AC8" s="241">
        <f>'5.1 sz. m Köz Hiv'!AB37</f>
        <v>0</v>
      </c>
      <c r="AD8" s="725">
        <f>'5.1 sz. m Köz Hiv'!AE37</f>
        <v>0</v>
      </c>
    </row>
    <row r="9" spans="1:30" s="5" customFormat="1" ht="33" customHeight="1">
      <c r="A9" s="53"/>
      <c r="B9" s="62" t="s">
        <v>47</v>
      </c>
      <c r="C9" s="62"/>
      <c r="D9" s="288" t="s">
        <v>78</v>
      </c>
      <c r="E9" s="297">
        <f>'4.sz.m.ÖNK kiadás'!E11+'5.1 sz. m Köz Hiv'!D38+'5.2 sz. m ÁMK'!D41+'üres lap'!D30</f>
        <v>2250000</v>
      </c>
      <c r="F9" s="241">
        <f>'4.sz.m.ÖNK kiadás'!F11+'5.1 sz. m Köz Hiv'!E38+'5.2 sz. m ÁMK'!E41+'üres lap'!E30</f>
        <v>2250000</v>
      </c>
      <c r="G9" s="241">
        <f>'4.sz.m.ÖNK kiadás'!G11+'5.1 sz. m Köz Hiv'!F38+'5.2 sz. m ÁMK'!F41+'üres lap'!F30</f>
        <v>2250000</v>
      </c>
      <c r="H9" s="725">
        <f>'4.sz.m.ÖNK kiadás'!H11+'5.1 sz. m Köz Hiv'!G38+'5.2 sz. m ÁMK'!G41+'üres lap'!G30</f>
        <v>2282000</v>
      </c>
      <c r="I9" s="1147">
        <f>'4.sz.m.ÖNK kiadás'!I11+'5.1 sz. m Köz Hiv'!H38+'5.2 sz. m ÁMK'!H41+'üres lap'!H30</f>
        <v>0</v>
      </c>
      <c r="J9" s="297">
        <f>'4.sz.m.ÖNK kiadás'!J11+'5.1 sz. m Köz Hiv'!I38+'5.2 sz. m ÁMK'!I41+'üres lap'!I30</f>
        <v>0</v>
      </c>
      <c r="K9" s="297">
        <f t="shared" si="2"/>
        <v>2250000</v>
      </c>
      <c r="L9" s="241">
        <f t="shared" si="2"/>
        <v>2250000</v>
      </c>
      <c r="M9" s="241">
        <f t="shared" si="2"/>
        <v>2250000</v>
      </c>
      <c r="N9" s="725">
        <f t="shared" si="2"/>
        <v>2282000</v>
      </c>
      <c r="O9" s="1147">
        <f t="shared" si="2"/>
        <v>-1454000</v>
      </c>
      <c r="P9" s="241">
        <f t="shared" si="2"/>
        <v>0</v>
      </c>
      <c r="Q9" s="669" t="e">
        <f>#REF!/N9</f>
        <v>#REF!</v>
      </c>
      <c r="R9" s="297">
        <f>'4.sz.m.ÖNK kiadás'!S11</f>
        <v>0</v>
      </c>
      <c r="S9" s="241">
        <f>'4.sz.m.ÖNK kiadás'!T11</f>
        <v>0</v>
      </c>
      <c r="T9" s="241">
        <f>'4.sz.m.ÖNK kiadás'!U11</f>
        <v>0</v>
      </c>
      <c r="U9" s="725">
        <f>'4.sz.m.ÖNK kiadás'!V11</f>
        <v>0</v>
      </c>
      <c r="V9" s="1147">
        <f>'4.sz.m.ÖNK kiadás'!W11</f>
        <v>1454000</v>
      </c>
      <c r="W9" s="241">
        <f>'4.sz.m.ÖNK kiadás'!X11</f>
        <v>0</v>
      </c>
      <c r="X9" s="297">
        <v>0</v>
      </c>
      <c r="Y9" s="241"/>
      <c r="Z9" s="241"/>
      <c r="AA9" s="241"/>
      <c r="AB9" s="241"/>
      <c r="AC9" s="241"/>
      <c r="AD9" s="725"/>
    </row>
    <row r="10" spans="1:30" s="5" customFormat="1" ht="33" customHeight="1">
      <c r="A10" s="53"/>
      <c r="B10" s="62" t="s">
        <v>48</v>
      </c>
      <c r="C10" s="62"/>
      <c r="D10" s="289" t="s">
        <v>80</v>
      </c>
      <c r="E10" s="297">
        <f aca="true" t="shared" si="3" ref="E10:J10">SUM(E11:E15)</f>
        <v>151539652</v>
      </c>
      <c r="F10" s="241">
        <f t="shared" si="3"/>
        <v>159273710</v>
      </c>
      <c r="G10" s="241">
        <f t="shared" si="3"/>
        <v>156300190</v>
      </c>
      <c r="H10" s="725">
        <f t="shared" si="3"/>
        <v>156659655</v>
      </c>
      <c r="I10" s="1147">
        <f t="shared" si="3"/>
        <v>0</v>
      </c>
      <c r="J10" s="297">
        <f t="shared" si="3"/>
        <v>0</v>
      </c>
      <c r="K10" s="297">
        <f t="shared" si="2"/>
        <v>144590209</v>
      </c>
      <c r="L10" s="241">
        <f t="shared" si="2"/>
        <v>144714267</v>
      </c>
      <c r="M10" s="241">
        <f t="shared" si="2"/>
        <v>141740747</v>
      </c>
      <c r="N10" s="725">
        <f t="shared" si="2"/>
        <v>143818840</v>
      </c>
      <c r="O10" s="1147">
        <f t="shared" si="2"/>
        <v>-12560529</v>
      </c>
      <c r="P10" s="241">
        <f t="shared" si="2"/>
        <v>0</v>
      </c>
      <c r="Q10" s="669" t="e">
        <f>#REF!/N10</f>
        <v>#REF!</v>
      </c>
      <c r="R10" s="297">
        <f>'4.sz.m.ÖNK kiadás'!S12</f>
        <v>6949443</v>
      </c>
      <c r="S10" s="241">
        <f>'4.sz.m.ÖNK kiadás'!T12</f>
        <v>14559443</v>
      </c>
      <c r="T10" s="241">
        <f>'4.sz.m.ÖNK kiadás'!U12</f>
        <v>14559443</v>
      </c>
      <c r="U10" s="725">
        <f>'4.sz.m.ÖNK kiadás'!V12</f>
        <v>12840815</v>
      </c>
      <c r="V10" s="1147">
        <f>'4.sz.m.ÖNK kiadás'!W12</f>
        <v>12560529</v>
      </c>
      <c r="W10" s="241">
        <f>'4.sz.m.ÖNK kiadás'!X12</f>
        <v>0</v>
      </c>
      <c r="X10" s="297">
        <v>0</v>
      </c>
      <c r="Y10" s="241"/>
      <c r="Z10" s="241"/>
      <c r="AA10" s="241"/>
      <c r="AB10" s="241"/>
      <c r="AC10" s="241"/>
      <c r="AD10" s="725"/>
    </row>
    <row r="11" spans="1:30" s="5" customFormat="1" ht="33" customHeight="1">
      <c r="A11" s="53"/>
      <c r="B11" s="85"/>
      <c r="C11" s="62" t="s">
        <v>79</v>
      </c>
      <c r="D11" s="290" t="s">
        <v>261</v>
      </c>
      <c r="E11" s="297">
        <f>'4.sz.m.ÖNK kiadás'!E13</f>
        <v>0</v>
      </c>
      <c r="F11" s="241">
        <f>'4.sz.m.ÖNK kiadás'!F13</f>
        <v>124058</v>
      </c>
      <c r="G11" s="241">
        <f>'4.sz.m.ÖNK kiadás'!G13</f>
        <v>124058</v>
      </c>
      <c r="H11" s="725">
        <f>'4.sz.m.ÖNK kiadás'!H13</f>
        <v>124058</v>
      </c>
      <c r="I11" s="1147">
        <f>'4.sz.m.ÖNK kiadás'!I13</f>
        <v>0</v>
      </c>
      <c r="J11" s="297">
        <f>'4.sz.m.ÖNK kiadás'!J13</f>
        <v>0</v>
      </c>
      <c r="K11" s="297">
        <f t="shared" si="2"/>
        <v>0</v>
      </c>
      <c r="L11" s="241">
        <f t="shared" si="2"/>
        <v>124058</v>
      </c>
      <c r="M11" s="241">
        <f t="shared" si="2"/>
        <v>124058</v>
      </c>
      <c r="N11" s="725">
        <f t="shared" si="2"/>
        <v>124058</v>
      </c>
      <c r="O11" s="1147">
        <f t="shared" si="2"/>
        <v>-4</v>
      </c>
      <c r="P11" s="241">
        <f t="shared" si="2"/>
        <v>0</v>
      </c>
      <c r="Q11" s="669" t="e">
        <f>#REF!/N11</f>
        <v>#REF!</v>
      </c>
      <c r="R11" s="297">
        <f>'4.sz.m.ÖNK kiadás'!S13</f>
        <v>0</v>
      </c>
      <c r="S11" s="241">
        <f>'4.sz.m.ÖNK kiadás'!T13</f>
        <v>0</v>
      </c>
      <c r="T11" s="241">
        <f>'4.sz.m.ÖNK kiadás'!U13</f>
        <v>0</v>
      </c>
      <c r="U11" s="725">
        <f>'4.sz.m.ÖNK kiadás'!V13</f>
        <v>0</v>
      </c>
      <c r="V11" s="1147">
        <f>'4.sz.m.ÖNK kiadás'!W13</f>
        <v>4</v>
      </c>
      <c r="W11" s="241">
        <f>'4.sz.m.ÖNK kiadás'!X13</f>
        <v>0</v>
      </c>
      <c r="X11" s="297">
        <v>0</v>
      </c>
      <c r="Y11" s="241"/>
      <c r="Z11" s="241"/>
      <c r="AA11" s="241"/>
      <c r="AB11" s="241"/>
      <c r="AC11" s="241"/>
      <c r="AD11" s="725"/>
    </row>
    <row r="12" spans="1:30" s="5" customFormat="1" ht="57.75" customHeight="1">
      <c r="A12" s="53"/>
      <c r="B12" s="62"/>
      <c r="C12" s="62" t="s">
        <v>81</v>
      </c>
      <c r="D12" s="288" t="s">
        <v>262</v>
      </c>
      <c r="E12" s="297">
        <f>'4.sz.m.ÖNK kiadás'!E14</f>
        <v>5574495</v>
      </c>
      <c r="F12" s="241">
        <f>'4.sz.m.ÖNK kiadás'!F14</f>
        <v>13184495</v>
      </c>
      <c r="G12" s="241">
        <f>'4.sz.m.ÖNK kiadás'!G14</f>
        <v>13184495</v>
      </c>
      <c r="H12" s="725">
        <f>'4.sz.m.ÖNK kiadás'!H14</f>
        <v>12608525</v>
      </c>
      <c r="I12" s="1147">
        <f>'4.sz.m.ÖNK kiadás'!I14</f>
        <v>0</v>
      </c>
      <c r="J12" s="297">
        <f>'4.sz.m.ÖNK kiadás'!J14</f>
        <v>0</v>
      </c>
      <c r="K12" s="297">
        <f t="shared" si="2"/>
        <v>0</v>
      </c>
      <c r="L12" s="241">
        <f t="shared" si="2"/>
        <v>0</v>
      </c>
      <c r="M12" s="241">
        <f t="shared" si="2"/>
        <v>0</v>
      </c>
      <c r="N12" s="725">
        <f t="shared" si="2"/>
        <v>0</v>
      </c>
      <c r="O12" s="1147">
        <f t="shared" si="2"/>
        <v>-12548525</v>
      </c>
      <c r="P12" s="241">
        <f t="shared" si="2"/>
        <v>0</v>
      </c>
      <c r="Q12" s="669"/>
      <c r="R12" s="297">
        <f>'4.sz.m.ÖNK kiadás'!S14</f>
        <v>5574495</v>
      </c>
      <c r="S12" s="241">
        <f>'4.sz.m.ÖNK kiadás'!T14</f>
        <v>13184495</v>
      </c>
      <c r="T12" s="241">
        <f>'4.sz.m.ÖNK kiadás'!U14</f>
        <v>13184495</v>
      </c>
      <c r="U12" s="725">
        <f>'4.sz.m.ÖNK kiadás'!V14</f>
        <v>12608525</v>
      </c>
      <c r="V12" s="1147">
        <f>'4.sz.m.ÖNK kiadás'!W14</f>
        <v>12548525</v>
      </c>
      <c r="W12" s="241">
        <f>'4.sz.m.ÖNK kiadás'!X14</f>
        <v>0</v>
      </c>
      <c r="X12" s="297">
        <v>0</v>
      </c>
      <c r="Y12" s="241"/>
      <c r="Z12" s="241"/>
      <c r="AA12" s="241"/>
      <c r="AB12" s="241"/>
      <c r="AC12" s="241"/>
      <c r="AD12" s="725"/>
    </row>
    <row r="13" spans="1:30" s="5" customFormat="1" ht="54.75" customHeight="1" thickBot="1">
      <c r="A13" s="81"/>
      <c r="B13" s="82"/>
      <c r="C13" s="62" t="s">
        <v>82</v>
      </c>
      <c r="D13" s="288" t="s">
        <v>263</v>
      </c>
      <c r="E13" s="297">
        <f>'4.sz.m.ÖNK kiadás'!E15</f>
        <v>145965157</v>
      </c>
      <c r="F13" s="241">
        <f>'4.sz.m.ÖNK kiadás'!F15</f>
        <v>145965157</v>
      </c>
      <c r="G13" s="241">
        <f>'4.sz.m.ÖNK kiadás'!G15</f>
        <v>142991637</v>
      </c>
      <c r="H13" s="725">
        <f>'4.sz.m.ÖNK kiadás'!H15</f>
        <v>143927072</v>
      </c>
      <c r="I13" s="1147">
        <f>'4.sz.m.ÖNK kiadás'!I15</f>
        <v>0</v>
      </c>
      <c r="J13" s="297">
        <f>'4.sz.m.ÖNK kiadás'!J15</f>
        <v>0</v>
      </c>
      <c r="K13" s="297">
        <f t="shared" si="2"/>
        <v>144590209</v>
      </c>
      <c r="L13" s="241">
        <f t="shared" si="2"/>
        <v>144590209</v>
      </c>
      <c r="M13" s="241">
        <f t="shared" si="2"/>
        <v>141616689</v>
      </c>
      <c r="N13" s="725">
        <f t="shared" si="2"/>
        <v>143694782</v>
      </c>
      <c r="O13" s="1147">
        <f t="shared" si="2"/>
        <v>-12000</v>
      </c>
      <c r="P13" s="241">
        <f t="shared" si="2"/>
        <v>0</v>
      </c>
      <c r="Q13" s="669" t="e">
        <f>#REF!/N13</f>
        <v>#REF!</v>
      </c>
      <c r="R13" s="297">
        <f>'4.sz.m.ÖNK kiadás'!S15</f>
        <v>1374948</v>
      </c>
      <c r="S13" s="241">
        <f>'4.sz.m.ÖNK kiadás'!T15</f>
        <v>1374948</v>
      </c>
      <c r="T13" s="241">
        <f>'4.sz.m.ÖNK kiadás'!U15</f>
        <v>1374948</v>
      </c>
      <c r="U13" s="725">
        <f>'4.sz.m.ÖNK kiadás'!V15</f>
        <v>232290</v>
      </c>
      <c r="V13" s="1147">
        <f>'4.sz.m.ÖNK kiadás'!W15</f>
        <v>12000</v>
      </c>
      <c r="W13" s="241">
        <f>'4.sz.m.ÖNK kiadás'!X15</f>
        <v>0</v>
      </c>
      <c r="X13" s="297">
        <v>0</v>
      </c>
      <c r="Y13" s="241"/>
      <c r="Z13" s="241"/>
      <c r="AA13" s="241"/>
      <c r="AB13" s="241"/>
      <c r="AC13" s="241"/>
      <c r="AD13" s="725"/>
    </row>
    <row r="14" spans="1:30" s="5" customFormat="1" ht="33" customHeight="1" hidden="1">
      <c r="A14" s="53"/>
      <c r="B14" s="62"/>
      <c r="C14" s="62" t="s">
        <v>85</v>
      </c>
      <c r="D14" s="288" t="s">
        <v>87</v>
      </c>
      <c r="E14" s="297"/>
      <c r="F14" s="241"/>
      <c r="G14" s="241"/>
      <c r="H14" s="725"/>
      <c r="I14" s="1147"/>
      <c r="J14" s="297"/>
      <c r="K14" s="297"/>
      <c r="L14" s="241"/>
      <c r="M14" s="241"/>
      <c r="N14" s="725"/>
      <c r="O14" s="1147"/>
      <c r="P14" s="241"/>
      <c r="Q14" s="669" t="e">
        <f>#REF!/N14</f>
        <v>#REF!</v>
      </c>
      <c r="R14" s="297">
        <f>'4.sz.m.ÖNK kiadás'!S16</f>
        <v>0</v>
      </c>
      <c r="S14" s="241">
        <f>'4.sz.m.ÖNK kiadás'!T16</f>
        <v>0</v>
      </c>
      <c r="T14" s="241">
        <f>'4.sz.m.ÖNK kiadás'!U16</f>
        <v>0</v>
      </c>
      <c r="U14" s="725">
        <f>'4.sz.m.ÖNK kiadás'!V16</f>
        <v>0</v>
      </c>
      <c r="V14" s="1147">
        <f>'4.sz.m.ÖNK kiadás'!W16</f>
        <v>0</v>
      </c>
      <c r="W14" s="241">
        <f>'4.sz.m.ÖNK kiadás'!X16</f>
        <v>0</v>
      </c>
      <c r="X14" s="297"/>
      <c r="Y14" s="241"/>
      <c r="Z14" s="241"/>
      <c r="AA14" s="241"/>
      <c r="AB14" s="241"/>
      <c r="AC14" s="241"/>
      <c r="AD14" s="725"/>
    </row>
    <row r="15" spans="1:30" s="5" customFormat="1" ht="33" customHeight="1" hidden="1" thickBot="1">
      <c r="A15" s="89"/>
      <c r="B15" s="76"/>
      <c r="C15" s="76" t="s">
        <v>86</v>
      </c>
      <c r="D15" s="291" t="s">
        <v>88</v>
      </c>
      <c r="E15" s="297"/>
      <c r="F15" s="241"/>
      <c r="G15" s="241"/>
      <c r="H15" s="725"/>
      <c r="I15" s="1147"/>
      <c r="J15" s="297"/>
      <c r="K15" s="297"/>
      <c r="L15" s="241"/>
      <c r="M15" s="241"/>
      <c r="N15" s="725"/>
      <c r="O15" s="1147"/>
      <c r="P15" s="241"/>
      <c r="Q15" s="669" t="e">
        <f>#REF!/N15</f>
        <v>#REF!</v>
      </c>
      <c r="R15" s="297">
        <f>'4.sz.m.ÖNK kiadás'!S17</f>
        <v>0</v>
      </c>
      <c r="S15" s="241">
        <f>'4.sz.m.ÖNK kiadás'!T17</f>
        <v>0</v>
      </c>
      <c r="T15" s="241">
        <f>'4.sz.m.ÖNK kiadás'!U17</f>
        <v>0</v>
      </c>
      <c r="U15" s="725">
        <f>'4.sz.m.ÖNK kiadás'!V17</f>
        <v>0</v>
      </c>
      <c r="V15" s="1147">
        <f>'4.sz.m.ÖNK kiadás'!W17</f>
        <v>0</v>
      </c>
      <c r="W15" s="241">
        <f>'4.sz.m.ÖNK kiadás'!X17</f>
        <v>0</v>
      </c>
      <c r="X15" s="297"/>
      <c r="Y15" s="241"/>
      <c r="Z15" s="241"/>
      <c r="AA15" s="241"/>
      <c r="AB15" s="241"/>
      <c r="AC15" s="241"/>
      <c r="AD15" s="725"/>
    </row>
    <row r="16" spans="1:30" s="5" customFormat="1" ht="33" customHeight="1" thickBot="1">
      <c r="A16" s="71" t="s">
        <v>27</v>
      </c>
      <c r="B16" s="1349" t="s">
        <v>89</v>
      </c>
      <c r="C16" s="1349"/>
      <c r="D16" s="1349"/>
      <c r="E16" s="298">
        <f aca="true" t="shared" si="4" ref="E16:P16">SUM(E17:E19)</f>
        <v>266031742</v>
      </c>
      <c r="F16" s="40">
        <f t="shared" si="4"/>
        <v>252771315</v>
      </c>
      <c r="G16" s="40">
        <f t="shared" si="4"/>
        <v>262756044</v>
      </c>
      <c r="H16" s="726">
        <f t="shared" si="4"/>
        <v>302218937</v>
      </c>
      <c r="I16" s="1137">
        <f t="shared" si="4"/>
        <v>0</v>
      </c>
      <c r="J16" s="298">
        <f t="shared" si="4"/>
        <v>0</v>
      </c>
      <c r="K16" s="298">
        <f t="shared" si="4"/>
        <v>257965235</v>
      </c>
      <c r="L16" s="40">
        <f t="shared" si="4"/>
        <v>244355029</v>
      </c>
      <c r="M16" s="40">
        <f>SUM(M17:M19)</f>
        <v>254339758</v>
      </c>
      <c r="N16" s="726">
        <f>SUM(N17:N19)</f>
        <v>293332491</v>
      </c>
      <c r="O16" s="1137" t="e">
        <f t="shared" si="4"/>
        <v>#REF!</v>
      </c>
      <c r="P16" s="40" t="e">
        <f t="shared" si="4"/>
        <v>#REF!</v>
      </c>
      <c r="Q16" s="667" t="e">
        <f>#REF!/N16</f>
        <v>#REF!</v>
      </c>
      <c r="R16" s="298">
        <f aca="true" t="shared" si="5" ref="R16:W16">SUM(R17:R19)</f>
        <v>8066507</v>
      </c>
      <c r="S16" s="40">
        <f>SUM(S17:S19)</f>
        <v>8416286</v>
      </c>
      <c r="T16" s="40">
        <f>SUM(T17:T19)</f>
        <v>8416286</v>
      </c>
      <c r="U16" s="726">
        <f>SUM(U17:U19)</f>
        <v>8886446</v>
      </c>
      <c r="V16" s="1137">
        <f t="shared" si="5"/>
        <v>4870000</v>
      </c>
      <c r="W16" s="40">
        <f t="shared" si="5"/>
        <v>0</v>
      </c>
      <c r="X16" s="298">
        <f aca="true" t="shared" si="6" ref="X16:AD16">SUM(X17:X19)</f>
        <v>0</v>
      </c>
      <c r="Y16" s="40">
        <f t="shared" si="6"/>
        <v>0</v>
      </c>
      <c r="Z16" s="40">
        <f t="shared" si="6"/>
        <v>0</v>
      </c>
      <c r="AA16" s="40">
        <f t="shared" si="6"/>
        <v>0</v>
      </c>
      <c r="AB16" s="40">
        <f t="shared" si="6"/>
        <v>0</v>
      </c>
      <c r="AC16" s="40">
        <f t="shared" si="6"/>
        <v>0</v>
      </c>
      <c r="AD16" s="726">
        <f t="shared" si="6"/>
        <v>0</v>
      </c>
    </row>
    <row r="17" spans="1:30" s="5" customFormat="1" ht="33" customHeight="1">
      <c r="A17" s="70"/>
      <c r="B17" s="75" t="s">
        <v>37</v>
      </c>
      <c r="C17" s="1354" t="s">
        <v>90</v>
      </c>
      <c r="D17" s="1354"/>
      <c r="E17" s="297">
        <f>'4.sz.m.ÖNK kiadás'!E19+'5.1 sz. m Köz Hiv'!D41+'5.2 sz. m ÁMK'!D44+'üres lap'!D33</f>
        <v>63700312</v>
      </c>
      <c r="F17" s="241">
        <f>'4.sz.m.ÖNK kiadás'!F19+'5.1 sz. m Köz Hiv'!E41+'5.2 sz. m ÁMK'!E44+'üres lap'!E33</f>
        <v>61481836</v>
      </c>
      <c r="G17" s="241">
        <f>'4.sz.m.ÖNK kiadás'!G19+'5.1 sz. m Köz Hiv'!F41+'5.2 sz. m ÁMK'!F44+'üres lap'!F33</f>
        <v>68924217</v>
      </c>
      <c r="H17" s="725">
        <f>'4.sz.m.ÖNK kiadás'!H19+'5.1 sz. m Köz Hiv'!G41+'5.2 sz. m ÁMK'!G44+'üres lap'!G33</f>
        <v>80216757</v>
      </c>
      <c r="I17" s="1147">
        <f>'4.sz.m.ÖNK kiadás'!I19+'5.1 sz. m Köz Hiv'!H41+'5.2 sz. m ÁMK'!H44+'üres lap'!H33</f>
        <v>0</v>
      </c>
      <c r="J17" s="297">
        <f>'4.sz.m.ÖNK kiadás'!J19+'5.1 sz. m Köz Hiv'!I41+'5.2 sz. m ÁMK'!I44+'üres lap'!I33</f>
        <v>0</v>
      </c>
      <c r="K17" s="297">
        <f>'4.sz.m.ÖNK kiadás'!L19+'5.1 sz. m Köz Hiv'!L41+'5.2 sz. m ÁMK'!L44</f>
        <v>63700312</v>
      </c>
      <c r="L17" s="241">
        <f>'4.sz.m.ÖNK kiadás'!M19+'5.1 sz. m Köz Hiv'!M41+'5.2 sz. m ÁMK'!M44</f>
        <v>61292176</v>
      </c>
      <c r="M17" s="241">
        <f>'4.sz.m.ÖNK kiadás'!N19+'5.1 sz. m Köz Hiv'!N41+'5.2 sz. m ÁMK'!N44</f>
        <v>68734557</v>
      </c>
      <c r="N17" s="725">
        <f>'4.sz.m.ÖNK kiadás'!O19+'5.1 sz. m Köz Hiv'!O41+'5.2 sz. m ÁMK'!O44</f>
        <v>79626937</v>
      </c>
      <c r="O17" s="1147" t="e">
        <f>'4.sz.m.ÖNK kiadás'!P19+'5.1 sz. m Köz Hiv'!P41+'5.2 sz. m ÁMK'!P44+'üres lap'!N33</f>
        <v>#REF!</v>
      </c>
      <c r="P17" s="241" t="e">
        <f>'4.sz.m.ÖNK kiadás'!Q19+'5.1 sz. m Köz Hiv'!Q41+'5.2 sz. m ÁMK'!Q44+'üres lap'!O33</f>
        <v>#REF!</v>
      </c>
      <c r="Q17" s="669" t="e">
        <f>#REF!/N17</f>
        <v>#REF!</v>
      </c>
      <c r="R17" s="297">
        <f>'4.sz.m.ÖNK kiadás'!S19</f>
        <v>0</v>
      </c>
      <c r="S17" s="241">
        <f>'4.sz.m.ÖNK kiadás'!T19</f>
        <v>189660</v>
      </c>
      <c r="T17" s="241">
        <f>'4.sz.m.ÖNK kiadás'!U19</f>
        <v>189660</v>
      </c>
      <c r="U17" s="725">
        <f>'4.sz.m.ÖNK kiadás'!V19</f>
        <v>589820</v>
      </c>
      <c r="V17" s="1147">
        <f>'4.sz.m.ÖNK kiadás'!W19</f>
        <v>0</v>
      </c>
      <c r="W17" s="241">
        <f>'4.sz.m.ÖNK kiadás'!X19</f>
        <v>0</v>
      </c>
      <c r="X17" s="297">
        <v>0</v>
      </c>
      <c r="Y17" s="241"/>
      <c r="Z17" s="241"/>
      <c r="AA17" s="241"/>
      <c r="AB17" s="241"/>
      <c r="AC17" s="241"/>
      <c r="AD17" s="725"/>
    </row>
    <row r="18" spans="1:30" s="5" customFormat="1" ht="33" customHeight="1">
      <c r="A18" s="53"/>
      <c r="B18" s="62" t="s">
        <v>38</v>
      </c>
      <c r="C18" s="1355" t="s">
        <v>91</v>
      </c>
      <c r="D18" s="1355"/>
      <c r="E18" s="297">
        <f>'4.sz.m.ÖNK kiadás'!E20</f>
        <v>196331430</v>
      </c>
      <c r="F18" s="241">
        <f>'4.sz.m.ÖNK kiadás'!F20</f>
        <v>185289479</v>
      </c>
      <c r="G18" s="241">
        <f>'4.sz.m.ÖNK kiadás'!G20</f>
        <v>187831827</v>
      </c>
      <c r="H18" s="725">
        <f>'4.sz.m.ÖNK kiadás'!H20</f>
        <v>215932180</v>
      </c>
      <c r="I18" s="1147">
        <f>'4.sz.m.ÖNK kiadás'!I20</f>
        <v>0</v>
      </c>
      <c r="J18" s="297">
        <f>'4.sz.m.ÖNK kiadás'!J20</f>
        <v>0</v>
      </c>
      <c r="K18" s="297">
        <f>'4.sz.m.ÖNK kiadás'!L20+'5.1 sz. m Köz Hiv'!L42+'5.2 sz. m ÁMK'!L45</f>
        <v>194264923</v>
      </c>
      <c r="L18" s="241">
        <f>'4.sz.m.ÖNK kiadás'!M20+'5.1 sz. m Köz Hiv'!M42+'5.2 sz. m ÁMK'!M45</f>
        <v>183062853</v>
      </c>
      <c r="M18" s="241">
        <f>'4.sz.m.ÖNK kiadás'!N20+'5.1 sz. m Köz Hiv'!N42+'5.2 sz. m ÁMK'!N45</f>
        <v>185605201</v>
      </c>
      <c r="N18" s="725">
        <f>'4.sz.m.ÖNK kiadás'!O20+'5.1 sz. m Köz Hiv'!O42+'5.2 sz. m ÁMK'!O45</f>
        <v>213705554</v>
      </c>
      <c r="O18" s="1147" t="e">
        <f>'4.sz.m.ÖNK kiadás'!P20+'5.2 sz. m ÁMK'!P46</f>
        <v>#REF!</v>
      </c>
      <c r="P18" s="241" t="e">
        <f>'4.sz.m.ÖNK kiadás'!Q20+'5.2 sz. m ÁMK'!Q46</f>
        <v>#REF!</v>
      </c>
      <c r="Q18" s="669" t="e">
        <f>#REF!/N18</f>
        <v>#REF!</v>
      </c>
      <c r="R18" s="297">
        <f>'4.sz.m.ÖNK kiadás'!S20</f>
        <v>2066507</v>
      </c>
      <c r="S18" s="241">
        <f>'4.sz.m.ÖNK kiadás'!T20</f>
        <v>2226626</v>
      </c>
      <c r="T18" s="241">
        <f>'4.sz.m.ÖNK kiadás'!U20</f>
        <v>2226626</v>
      </c>
      <c r="U18" s="725">
        <f>'4.sz.m.ÖNK kiadás'!V20</f>
        <v>2226626</v>
      </c>
      <c r="V18" s="1147">
        <f>'4.sz.m.ÖNK kiadás'!W20</f>
        <v>0</v>
      </c>
      <c r="W18" s="241">
        <f>'4.sz.m.ÖNK kiadás'!X20</f>
        <v>0</v>
      </c>
      <c r="X18" s="297">
        <v>0</v>
      </c>
      <c r="Y18" s="241"/>
      <c r="Z18" s="241"/>
      <c r="AA18" s="241"/>
      <c r="AB18" s="241"/>
      <c r="AC18" s="241"/>
      <c r="AD18" s="725"/>
    </row>
    <row r="19" spans="1:30" s="5" customFormat="1" ht="33" customHeight="1">
      <c r="A19" s="83"/>
      <c r="B19" s="62" t="s">
        <v>39</v>
      </c>
      <c r="C19" s="1346" t="s">
        <v>92</v>
      </c>
      <c r="D19" s="1346"/>
      <c r="E19" s="297">
        <f>'4.sz.m.ÖNK kiadás'!E21</f>
        <v>6000000</v>
      </c>
      <c r="F19" s="241">
        <f>'4.sz.m.ÖNK kiadás'!F21</f>
        <v>6000000</v>
      </c>
      <c r="G19" s="241">
        <f>'4.sz.m.ÖNK kiadás'!G21</f>
        <v>6000000</v>
      </c>
      <c r="H19" s="725">
        <f>'4.sz.m.ÖNK kiadás'!H21</f>
        <v>6070000</v>
      </c>
      <c r="I19" s="1147">
        <f>'4.sz.m.ÖNK kiadás'!I21</f>
        <v>0</v>
      </c>
      <c r="J19" s="297">
        <f>'4.sz.m.ÖNK kiadás'!J21</f>
        <v>0</v>
      </c>
      <c r="K19" s="297">
        <f>'4.sz.m.ÖNK kiadás'!L21</f>
        <v>0</v>
      </c>
      <c r="L19" s="241">
        <f>'4.sz.m.ÖNK kiadás'!M21</f>
        <v>0</v>
      </c>
      <c r="M19" s="241">
        <f>'4.sz.m.ÖNK kiadás'!N21</f>
        <v>0</v>
      </c>
      <c r="N19" s="725">
        <f>'4.sz.m.ÖNK kiadás'!O21</f>
        <v>0</v>
      </c>
      <c r="O19" s="1147">
        <f>'4.sz.m.ÖNK kiadás'!P21</f>
        <v>-4870000</v>
      </c>
      <c r="P19" s="241">
        <f>'4.sz.m.ÖNK kiadás'!Q21</f>
        <v>0</v>
      </c>
      <c r="Q19" s="669"/>
      <c r="R19" s="297">
        <f>'4.sz.m.ÖNK kiadás'!S21</f>
        <v>6000000</v>
      </c>
      <c r="S19" s="241">
        <f>'4.sz.m.ÖNK kiadás'!T21</f>
        <v>6000000</v>
      </c>
      <c r="T19" s="241">
        <f>'4.sz.m.ÖNK kiadás'!U21</f>
        <v>6000000</v>
      </c>
      <c r="U19" s="725">
        <f>'4.sz.m.ÖNK kiadás'!V21</f>
        <v>6070000</v>
      </c>
      <c r="V19" s="1147">
        <f>'4.sz.m.ÖNK kiadás'!W21</f>
        <v>4870000</v>
      </c>
      <c r="W19" s="241">
        <f>'4.sz.m.ÖNK kiadás'!X21</f>
        <v>0</v>
      </c>
      <c r="X19" s="297">
        <v>0</v>
      </c>
      <c r="Y19" s="241"/>
      <c r="Z19" s="241"/>
      <c r="AA19" s="241"/>
      <c r="AB19" s="241"/>
      <c r="AC19" s="241"/>
      <c r="AD19" s="725"/>
    </row>
    <row r="20" spans="1:30" s="5" customFormat="1" ht="33" customHeight="1">
      <c r="A20" s="59"/>
      <c r="B20" s="63"/>
      <c r="C20" s="63" t="s">
        <v>93</v>
      </c>
      <c r="D20" s="199" t="s">
        <v>83</v>
      </c>
      <c r="E20" s="297">
        <f>'4.sz.m.ÖNK kiadás'!E22</f>
        <v>6000000</v>
      </c>
      <c r="F20" s="241">
        <f>'4.sz.m.ÖNK kiadás'!F22</f>
        <v>6000000</v>
      </c>
      <c r="G20" s="241">
        <f>'4.sz.m.ÖNK kiadás'!G22</f>
        <v>6000000</v>
      </c>
      <c r="H20" s="725">
        <f>'4.sz.m.ÖNK kiadás'!H22</f>
        <v>6070000</v>
      </c>
      <c r="I20" s="1147">
        <f>'4.sz.m.ÖNK kiadás'!I22</f>
        <v>0</v>
      </c>
      <c r="J20" s="297">
        <f>'4.sz.m.ÖNK kiadás'!J22</f>
        <v>0</v>
      </c>
      <c r="K20" s="297">
        <f>'4.sz.m.ÖNK kiadás'!L22</f>
        <v>0</v>
      </c>
      <c r="L20" s="241">
        <f>'4.sz.m.ÖNK kiadás'!M22</f>
        <v>0</v>
      </c>
      <c r="M20" s="241">
        <f>'4.sz.m.ÖNK kiadás'!N22</f>
        <v>0</v>
      </c>
      <c r="N20" s="725">
        <f>'4.sz.m.ÖNK kiadás'!O22</f>
        <v>0</v>
      </c>
      <c r="O20" s="1147">
        <f>'4.sz.m.ÖNK kiadás'!P22</f>
        <v>-4870000</v>
      </c>
      <c r="P20" s="241">
        <f>'4.sz.m.ÖNK kiadás'!Q22</f>
        <v>0</v>
      </c>
      <c r="Q20" s="669"/>
      <c r="R20" s="297">
        <f>'4.sz.m.ÖNK kiadás'!S22</f>
        <v>6000000</v>
      </c>
      <c r="S20" s="241">
        <f>'4.sz.m.ÖNK kiadás'!T22</f>
        <v>6000000</v>
      </c>
      <c r="T20" s="241">
        <f>'4.sz.m.ÖNK kiadás'!U22</f>
        <v>6000000</v>
      </c>
      <c r="U20" s="725">
        <f>'4.sz.m.ÖNK kiadás'!V22</f>
        <v>6070000</v>
      </c>
      <c r="V20" s="1147">
        <f>'4.sz.m.ÖNK kiadás'!W22</f>
        <v>4870000</v>
      </c>
      <c r="W20" s="241">
        <f>'4.sz.m.ÖNK kiadás'!X22</f>
        <v>0</v>
      </c>
      <c r="X20" s="297">
        <v>0</v>
      </c>
      <c r="Y20" s="241"/>
      <c r="Z20" s="241"/>
      <c r="AA20" s="241"/>
      <c r="AB20" s="241"/>
      <c r="AC20" s="241"/>
      <c r="AD20" s="725"/>
    </row>
    <row r="21" spans="1:30" s="5" customFormat="1" ht="33" customHeight="1">
      <c r="A21" s="59"/>
      <c r="B21" s="63"/>
      <c r="C21" s="63" t="s">
        <v>94</v>
      </c>
      <c r="D21" s="199" t="s">
        <v>84</v>
      </c>
      <c r="E21" s="297">
        <f>'4.sz.m.ÖNK kiadás'!E23</f>
        <v>0</v>
      </c>
      <c r="F21" s="241">
        <f>'4.sz.m.ÖNK kiadás'!F23</f>
        <v>0</v>
      </c>
      <c r="G21" s="241">
        <f>'4.sz.m.ÖNK kiadás'!G23</f>
        <v>0</v>
      </c>
      <c r="H21" s="725">
        <f>'4.sz.m.ÖNK kiadás'!H23</f>
        <v>0</v>
      </c>
      <c r="I21" s="1147">
        <f>'4.sz.m.ÖNK kiadás'!I23</f>
        <v>0</v>
      </c>
      <c r="J21" s="297">
        <f>'4.sz.m.ÖNK kiadás'!J23</f>
        <v>0</v>
      </c>
      <c r="K21" s="297">
        <f>'4.sz.m.ÖNK kiadás'!L23</f>
        <v>0</v>
      </c>
      <c r="L21" s="241">
        <f>'4.sz.m.ÖNK kiadás'!M23</f>
        <v>0</v>
      </c>
      <c r="M21" s="241">
        <f>'4.sz.m.ÖNK kiadás'!N23</f>
        <v>0</v>
      </c>
      <c r="N21" s="725">
        <f>'4.sz.m.ÖNK kiadás'!O23</f>
        <v>0</v>
      </c>
      <c r="O21" s="1147">
        <f>'4.sz.m.ÖNK kiadás'!P23</f>
        <v>0</v>
      </c>
      <c r="P21" s="241">
        <f>'4.sz.m.ÖNK kiadás'!Q23</f>
        <v>0</v>
      </c>
      <c r="Q21" s="669"/>
      <c r="R21" s="297">
        <v>0</v>
      </c>
      <c r="S21" s="241">
        <v>0</v>
      </c>
      <c r="T21" s="241">
        <v>0</v>
      </c>
      <c r="U21" s="725">
        <v>0</v>
      </c>
      <c r="V21" s="1147"/>
      <c r="W21" s="241"/>
      <c r="X21" s="297">
        <v>0</v>
      </c>
      <c r="Y21" s="241"/>
      <c r="Z21" s="241"/>
      <c r="AA21" s="241"/>
      <c r="AB21" s="241"/>
      <c r="AC21" s="241"/>
      <c r="AD21" s="725"/>
    </row>
    <row r="22" spans="1:30" s="5" customFormat="1" ht="33" customHeight="1">
      <c r="A22" s="83"/>
      <c r="B22" s="199"/>
      <c r="C22" s="63" t="s">
        <v>95</v>
      </c>
      <c r="D22" s="199" t="s">
        <v>451</v>
      </c>
      <c r="E22" s="297">
        <f>'4.sz.m.ÖNK kiadás'!E24</f>
        <v>0</v>
      </c>
      <c r="F22" s="241">
        <f>'4.sz.m.ÖNK kiadás'!F24</f>
        <v>0</v>
      </c>
      <c r="G22" s="241">
        <f>'4.sz.m.ÖNK kiadás'!G24</f>
        <v>0</v>
      </c>
      <c r="H22" s="725">
        <f>'4.sz.m.ÖNK kiadás'!H24</f>
        <v>0</v>
      </c>
      <c r="I22" s="1147">
        <f>'4.sz.m.ÖNK kiadás'!I24</f>
        <v>0</v>
      </c>
      <c r="J22" s="297">
        <f>'4.sz.m.ÖNK kiadás'!J24</f>
        <v>0</v>
      </c>
      <c r="K22" s="297">
        <f>'4.sz.m.ÖNK kiadás'!L24</f>
        <v>0</v>
      </c>
      <c r="L22" s="241">
        <f>'4.sz.m.ÖNK kiadás'!M24</f>
        <v>0</v>
      </c>
      <c r="M22" s="241">
        <f>'4.sz.m.ÖNK kiadás'!N24</f>
        <v>0</v>
      </c>
      <c r="N22" s="725">
        <f>'4.sz.m.ÖNK kiadás'!O24</f>
        <v>0</v>
      </c>
      <c r="O22" s="1147">
        <f>'4.sz.m.ÖNK kiadás'!P24</f>
        <v>0</v>
      </c>
      <c r="P22" s="241">
        <f>'4.sz.m.ÖNK kiadás'!Q24</f>
        <v>0</v>
      </c>
      <c r="Q22" s="669"/>
      <c r="R22" s="297">
        <v>0</v>
      </c>
      <c r="S22" s="241">
        <v>0</v>
      </c>
      <c r="T22" s="241">
        <v>0</v>
      </c>
      <c r="U22" s="725">
        <v>0</v>
      </c>
      <c r="V22" s="1147">
        <f>'4.sz.m.ÖNK kiadás'!W24</f>
        <v>0</v>
      </c>
      <c r="W22" s="241">
        <f>'4.sz.m.ÖNK kiadás'!X24</f>
        <v>0</v>
      </c>
      <c r="X22" s="297">
        <v>0</v>
      </c>
      <c r="Y22" s="241"/>
      <c r="Z22" s="241"/>
      <c r="AA22" s="241"/>
      <c r="AB22" s="241"/>
      <c r="AC22" s="241"/>
      <c r="AD22" s="725"/>
    </row>
    <row r="23" spans="1:30" s="5" customFormat="1" ht="33" customHeight="1" thickBot="1">
      <c r="A23" s="223"/>
      <c r="B23" s="224"/>
      <c r="C23" s="225" t="s">
        <v>202</v>
      </c>
      <c r="D23" s="224" t="s">
        <v>203</v>
      </c>
      <c r="E23" s="297">
        <f>'4.sz.m.ÖNK kiadás'!E25</f>
        <v>0</v>
      </c>
      <c r="F23" s="241">
        <f>'4.sz.m.ÖNK kiadás'!F25</f>
        <v>0</v>
      </c>
      <c r="G23" s="241">
        <f>'4.sz.m.ÖNK kiadás'!G25</f>
        <v>0</v>
      </c>
      <c r="H23" s="725">
        <f>'4.sz.m.ÖNK kiadás'!H25</f>
        <v>0</v>
      </c>
      <c r="I23" s="1147">
        <f>'4.sz.m.ÖNK kiadás'!I25</f>
        <v>0</v>
      </c>
      <c r="J23" s="297">
        <f>'4.sz.m.ÖNK kiadás'!J25</f>
        <v>0</v>
      </c>
      <c r="K23" s="297">
        <f>'4.sz.m.ÖNK kiadás'!L25</f>
        <v>0</v>
      </c>
      <c r="L23" s="241">
        <f>'4.sz.m.ÖNK kiadás'!M25</f>
        <v>0</v>
      </c>
      <c r="M23" s="241">
        <f>'4.sz.m.ÖNK kiadás'!N25</f>
        <v>0</v>
      </c>
      <c r="N23" s="725">
        <f>'4.sz.m.ÖNK kiadás'!O25</f>
        <v>0</v>
      </c>
      <c r="O23" s="1147">
        <f>'4.sz.m.ÖNK kiadás'!P25</f>
        <v>0</v>
      </c>
      <c r="P23" s="241">
        <f>'4.sz.m.ÖNK kiadás'!Q25</f>
        <v>0</v>
      </c>
      <c r="Q23" s="669"/>
      <c r="R23" s="297">
        <v>0</v>
      </c>
      <c r="S23" s="241">
        <v>0</v>
      </c>
      <c r="T23" s="241">
        <v>0</v>
      </c>
      <c r="U23" s="725">
        <v>0</v>
      </c>
      <c r="V23" s="1147"/>
      <c r="W23" s="241"/>
      <c r="X23" s="297">
        <v>0</v>
      </c>
      <c r="Y23" s="241"/>
      <c r="Z23" s="241"/>
      <c r="AA23" s="241"/>
      <c r="AB23" s="241"/>
      <c r="AC23" s="241"/>
      <c r="AD23" s="725"/>
    </row>
    <row r="24" spans="1:30" s="5" customFormat="1" ht="33" customHeight="1" thickBot="1">
      <c r="A24" s="71" t="s">
        <v>9</v>
      </c>
      <c r="B24" s="1349" t="s">
        <v>96</v>
      </c>
      <c r="C24" s="1349"/>
      <c r="D24" s="1349"/>
      <c r="E24" s="298">
        <f aca="true" t="shared" si="7" ref="E24:P24">SUM(E25:E27)</f>
        <v>88768165</v>
      </c>
      <c r="F24" s="40">
        <f t="shared" si="7"/>
        <v>80172407</v>
      </c>
      <c r="G24" s="40">
        <f t="shared" si="7"/>
        <v>95182276</v>
      </c>
      <c r="H24" s="726">
        <f t="shared" si="7"/>
        <v>0</v>
      </c>
      <c r="I24" s="1137">
        <f t="shared" si="7"/>
        <v>57410165</v>
      </c>
      <c r="J24" s="298">
        <f t="shared" si="7"/>
        <v>0</v>
      </c>
      <c r="K24" s="298">
        <f t="shared" si="7"/>
        <v>88768165</v>
      </c>
      <c r="L24" s="40">
        <f t="shared" si="7"/>
        <v>80172407</v>
      </c>
      <c r="M24" s="40">
        <f>SUM(M25:M27)</f>
        <v>95182276</v>
      </c>
      <c r="N24" s="726">
        <f>SUM(N25:N27)</f>
        <v>0</v>
      </c>
      <c r="O24" s="1137">
        <f t="shared" si="7"/>
        <v>57410165</v>
      </c>
      <c r="P24" s="40">
        <f t="shared" si="7"/>
        <v>0</v>
      </c>
      <c r="Q24" s="667" t="e">
        <f>#REF!/N24</f>
        <v>#REF!</v>
      </c>
      <c r="R24" s="298">
        <f aca="true" t="shared" si="8" ref="R24:Z24">SUM(R25:R27)</f>
        <v>0</v>
      </c>
      <c r="S24" s="40">
        <f>SUM(S25:S27)</f>
        <v>0</v>
      </c>
      <c r="T24" s="40">
        <f>SUM(T25:T27)</f>
        <v>0</v>
      </c>
      <c r="U24" s="726">
        <f>SUM(U25:U27)</f>
        <v>0</v>
      </c>
      <c r="V24" s="1137">
        <f>SUM(V25:V27)</f>
        <v>0</v>
      </c>
      <c r="W24" s="40">
        <f>SUM(W25:W27)</f>
        <v>0</v>
      </c>
      <c r="X24" s="298">
        <f t="shared" si="8"/>
        <v>0</v>
      </c>
      <c r="Y24" s="40">
        <f t="shared" si="8"/>
        <v>0</v>
      </c>
      <c r="Z24" s="40">
        <f t="shared" si="8"/>
        <v>0</v>
      </c>
      <c r="AA24" s="40">
        <f>SUM(AA25:AA27)</f>
        <v>0</v>
      </c>
      <c r="AB24" s="40">
        <f>SUM(AB25:AB27)</f>
        <v>0</v>
      </c>
      <c r="AC24" s="40">
        <f>SUM(AC25:AC27)</f>
        <v>0</v>
      </c>
      <c r="AD24" s="726">
        <f>SUM(AD25:AD27)</f>
        <v>0</v>
      </c>
    </row>
    <row r="25" spans="1:30" s="5" customFormat="1" ht="33" customHeight="1">
      <c r="A25" s="70"/>
      <c r="B25" s="75" t="s">
        <v>40</v>
      </c>
      <c r="C25" s="1354" t="s">
        <v>2</v>
      </c>
      <c r="D25" s="1354"/>
      <c r="E25" s="297">
        <f>'4.sz.m.ÖNK kiadás'!E27</f>
        <v>88768165</v>
      </c>
      <c r="F25" s="241">
        <f>'4.sz.m.ÖNK kiadás'!F27</f>
        <v>80172407</v>
      </c>
      <c r="G25" s="241">
        <f>'4.sz.m.ÖNK kiadás'!G27</f>
        <v>95182276</v>
      </c>
      <c r="H25" s="725">
        <f>'4.sz.m.ÖNK kiadás'!H27</f>
        <v>0</v>
      </c>
      <c r="I25" s="1147">
        <f>'4.sz.m.ÖNK kiadás'!I27</f>
        <v>57410165</v>
      </c>
      <c r="J25" s="297">
        <f>'4.sz.m.ÖNK kiadás'!J27</f>
        <v>0</v>
      </c>
      <c r="K25" s="297">
        <f>'4.sz.m.ÖNK kiadás'!L27</f>
        <v>88768165</v>
      </c>
      <c r="L25" s="241">
        <f>'4.sz.m.ÖNK kiadás'!M27</f>
        <v>80172407</v>
      </c>
      <c r="M25" s="241">
        <f>'4.sz.m.ÖNK kiadás'!N27</f>
        <v>95182276</v>
      </c>
      <c r="N25" s="725">
        <f>'4.sz.m.ÖNK kiadás'!O27</f>
        <v>0</v>
      </c>
      <c r="O25" s="1147">
        <f>'4.sz.m.ÖNK kiadás'!P27</f>
        <v>57410165</v>
      </c>
      <c r="P25" s="241">
        <f>'4.sz.m.ÖNK kiadás'!Q27</f>
        <v>0</v>
      </c>
      <c r="Q25" s="241">
        <f>'4.sz.m.ÖNK kiadás'!R27</f>
        <v>0</v>
      </c>
      <c r="R25" s="297">
        <v>0</v>
      </c>
      <c r="S25" s="241">
        <v>0</v>
      </c>
      <c r="T25" s="241">
        <v>0</v>
      </c>
      <c r="U25" s="725">
        <v>0</v>
      </c>
      <c r="V25" s="1147"/>
      <c r="W25" s="241"/>
      <c r="X25" s="297">
        <v>0</v>
      </c>
      <c r="Y25" s="241"/>
      <c r="Z25" s="241"/>
      <c r="AA25" s="241"/>
      <c r="AB25" s="241"/>
      <c r="AC25" s="241"/>
      <c r="AD25" s="725"/>
    </row>
    <row r="26" spans="1:30" s="8" customFormat="1" ht="33" customHeight="1">
      <c r="A26" s="84"/>
      <c r="B26" s="62" t="s">
        <v>41</v>
      </c>
      <c r="C26" s="1353" t="s">
        <v>264</v>
      </c>
      <c r="D26" s="1353"/>
      <c r="E26" s="297">
        <v>0</v>
      </c>
      <c r="F26" s="241">
        <v>0</v>
      </c>
      <c r="G26" s="241">
        <v>0</v>
      </c>
      <c r="H26" s="725">
        <v>0</v>
      </c>
      <c r="I26" s="1147">
        <v>0</v>
      </c>
      <c r="J26" s="297">
        <v>0</v>
      </c>
      <c r="K26" s="297">
        <v>0</v>
      </c>
      <c r="L26" s="241">
        <v>0</v>
      </c>
      <c r="M26" s="241">
        <v>0</v>
      </c>
      <c r="N26" s="725">
        <v>0</v>
      </c>
      <c r="O26" s="1147"/>
      <c r="P26" s="241"/>
      <c r="Q26" s="669"/>
      <c r="R26" s="297">
        <v>0</v>
      </c>
      <c r="S26" s="241">
        <v>0</v>
      </c>
      <c r="T26" s="241">
        <v>0</v>
      </c>
      <c r="U26" s="725">
        <v>0</v>
      </c>
      <c r="V26" s="1147"/>
      <c r="W26" s="241"/>
      <c r="X26" s="297">
        <v>0</v>
      </c>
      <c r="Y26" s="241"/>
      <c r="Z26" s="241"/>
      <c r="AA26" s="241"/>
      <c r="AB26" s="241"/>
      <c r="AC26" s="241"/>
      <c r="AD26" s="725"/>
    </row>
    <row r="27" spans="1:30" s="8" customFormat="1" ht="33" customHeight="1" thickBot="1">
      <c r="A27" s="90"/>
      <c r="B27" s="76" t="s">
        <v>64</v>
      </c>
      <c r="C27" s="91" t="s">
        <v>97</v>
      </c>
      <c r="D27" s="91"/>
      <c r="E27" s="297">
        <v>0</v>
      </c>
      <c r="F27" s="241">
        <v>0</v>
      </c>
      <c r="G27" s="241">
        <v>0</v>
      </c>
      <c r="H27" s="725">
        <v>0</v>
      </c>
      <c r="I27" s="1147">
        <v>0</v>
      </c>
      <c r="J27" s="297">
        <v>0</v>
      </c>
      <c r="K27" s="297">
        <v>0</v>
      </c>
      <c r="L27" s="241">
        <v>0</v>
      </c>
      <c r="M27" s="241">
        <v>0</v>
      </c>
      <c r="N27" s="725">
        <v>0</v>
      </c>
      <c r="O27" s="1147"/>
      <c r="P27" s="241"/>
      <c r="Q27" s="669"/>
      <c r="R27" s="297">
        <v>0</v>
      </c>
      <c r="S27" s="241">
        <v>0</v>
      </c>
      <c r="T27" s="241">
        <v>0</v>
      </c>
      <c r="U27" s="725">
        <v>0</v>
      </c>
      <c r="V27" s="1147"/>
      <c r="W27" s="241"/>
      <c r="X27" s="297">
        <v>0</v>
      </c>
      <c r="Y27" s="241"/>
      <c r="Z27" s="241"/>
      <c r="AA27" s="241"/>
      <c r="AB27" s="241"/>
      <c r="AC27" s="241"/>
      <c r="AD27" s="725"/>
    </row>
    <row r="28" spans="1:30" s="8" customFormat="1" ht="33" customHeight="1" thickBot="1">
      <c r="A28" s="51" t="s">
        <v>10</v>
      </c>
      <c r="B28" s="77" t="s">
        <v>98</v>
      </c>
      <c r="C28" s="77"/>
      <c r="D28" s="77"/>
      <c r="E28" s="299">
        <v>0</v>
      </c>
      <c r="F28" s="300">
        <v>0</v>
      </c>
      <c r="G28" s="300">
        <v>0</v>
      </c>
      <c r="H28" s="727">
        <v>0</v>
      </c>
      <c r="I28" s="1148">
        <v>0</v>
      </c>
      <c r="J28" s="299">
        <v>0</v>
      </c>
      <c r="K28" s="299">
        <v>0</v>
      </c>
      <c r="L28" s="300">
        <v>0</v>
      </c>
      <c r="M28" s="300">
        <v>0</v>
      </c>
      <c r="N28" s="727">
        <v>0</v>
      </c>
      <c r="O28" s="1148">
        <v>0</v>
      </c>
      <c r="P28" s="300"/>
      <c r="Q28" s="670"/>
      <c r="R28" s="299">
        <v>0</v>
      </c>
      <c r="S28" s="300">
        <v>0</v>
      </c>
      <c r="T28" s="300">
        <v>0</v>
      </c>
      <c r="U28" s="727">
        <v>0</v>
      </c>
      <c r="V28" s="1148"/>
      <c r="W28" s="300"/>
      <c r="X28" s="299">
        <v>0</v>
      </c>
      <c r="Y28" s="300"/>
      <c r="Z28" s="300"/>
      <c r="AA28" s="300"/>
      <c r="AB28" s="300"/>
      <c r="AC28" s="300"/>
      <c r="AD28" s="727"/>
    </row>
    <row r="29" spans="1:30" s="8" customFormat="1" ht="33" customHeight="1" thickBot="1">
      <c r="A29" s="71" t="s">
        <v>11</v>
      </c>
      <c r="B29" s="1309" t="s">
        <v>99</v>
      </c>
      <c r="C29" s="1309"/>
      <c r="D29" s="1309"/>
      <c r="E29" s="296">
        <f aca="true" t="shared" si="9" ref="E29:P29">E5+E16+E24+E28</f>
        <v>915625767</v>
      </c>
      <c r="F29" s="239">
        <f t="shared" si="9"/>
        <v>902173540</v>
      </c>
      <c r="G29" s="239">
        <f t="shared" si="9"/>
        <v>924189193</v>
      </c>
      <c r="H29" s="724">
        <f t="shared" si="9"/>
        <v>981690471</v>
      </c>
      <c r="I29" s="1135">
        <f t="shared" si="9"/>
        <v>57410165</v>
      </c>
      <c r="J29" s="296">
        <f t="shared" si="9"/>
        <v>0</v>
      </c>
      <c r="K29" s="296">
        <f t="shared" si="9"/>
        <v>880310005</v>
      </c>
      <c r="L29" s="239">
        <f>L5+L16+L24+L28</f>
        <v>858897999</v>
      </c>
      <c r="M29" s="239">
        <f>M5+M16+M24+M28</f>
        <v>880913652</v>
      </c>
      <c r="N29" s="724">
        <f>N5+N16+N24+N28</f>
        <v>943089525</v>
      </c>
      <c r="O29" s="1135" t="e">
        <f t="shared" si="9"/>
        <v>#REF!</v>
      </c>
      <c r="P29" s="239" t="e">
        <f t="shared" si="9"/>
        <v>#REF!</v>
      </c>
      <c r="Q29" s="663" t="e">
        <f>#REF!/N29</f>
        <v>#REF!</v>
      </c>
      <c r="R29" s="296">
        <f aca="true" t="shared" si="10" ref="R29:AD29">R5+R16+R24+R28</f>
        <v>35315762</v>
      </c>
      <c r="S29" s="239">
        <f>S5+S16+S24+S28</f>
        <v>43275541</v>
      </c>
      <c r="T29" s="239">
        <f>T5+T16+T24+T28</f>
        <v>43275541</v>
      </c>
      <c r="U29" s="724">
        <f>U5+U16+U24+U28</f>
        <v>38600946</v>
      </c>
      <c r="V29" s="1135">
        <f t="shared" si="10"/>
        <v>18884529</v>
      </c>
      <c r="W29" s="239">
        <f>W5+W16+W24+W28</f>
        <v>0</v>
      </c>
      <c r="X29" s="296">
        <f t="shared" si="10"/>
        <v>7923383</v>
      </c>
      <c r="Y29" s="239">
        <f t="shared" si="10"/>
        <v>7923383</v>
      </c>
      <c r="Z29" s="239">
        <f t="shared" si="10"/>
        <v>7923383</v>
      </c>
      <c r="AA29" s="239">
        <f t="shared" si="10"/>
        <v>7923383</v>
      </c>
      <c r="AB29" s="239">
        <f t="shared" si="10"/>
        <v>5610894</v>
      </c>
      <c r="AC29" s="239">
        <f t="shared" si="10"/>
        <v>0</v>
      </c>
      <c r="AD29" s="724">
        <f t="shared" si="10"/>
        <v>0</v>
      </c>
    </row>
    <row r="30" spans="1:30" s="8" customFormat="1" ht="33" customHeight="1" thickBot="1">
      <c r="A30" s="49" t="s">
        <v>12</v>
      </c>
      <c r="B30" s="1356" t="s">
        <v>204</v>
      </c>
      <c r="C30" s="1356"/>
      <c r="D30" s="1356"/>
      <c r="E30" s="301">
        <f aca="true" t="shared" si="11" ref="E30:P30">SUM(E31:E33)</f>
        <v>10912646</v>
      </c>
      <c r="F30" s="74">
        <f t="shared" si="11"/>
        <v>10912646</v>
      </c>
      <c r="G30" s="74">
        <f t="shared" si="11"/>
        <v>10912646</v>
      </c>
      <c r="H30" s="728">
        <f>SUM(H31:H33)</f>
        <v>10912646</v>
      </c>
      <c r="I30" s="1134">
        <f>SUM(I31:I33)</f>
        <v>0</v>
      </c>
      <c r="J30" s="301">
        <f>SUM(J31:J33)</f>
        <v>0</v>
      </c>
      <c r="K30" s="301">
        <f t="shared" si="11"/>
        <v>10912646</v>
      </c>
      <c r="L30" s="74">
        <f>SUM(L31:L33)</f>
        <v>10912646</v>
      </c>
      <c r="M30" s="74">
        <f>SUM(M31:M33)</f>
        <v>10912646</v>
      </c>
      <c r="N30" s="728">
        <f>SUM(N31:N33)</f>
        <v>10912646</v>
      </c>
      <c r="O30" s="1134">
        <f t="shared" si="11"/>
        <v>0</v>
      </c>
      <c r="P30" s="74">
        <f t="shared" si="11"/>
        <v>0</v>
      </c>
      <c r="Q30" s="663" t="e">
        <f>#REF!/N30</f>
        <v>#REF!</v>
      </c>
      <c r="R30" s="301"/>
      <c r="S30" s="74"/>
      <c r="T30" s="74"/>
      <c r="U30" s="728"/>
      <c r="V30" s="1134"/>
      <c r="W30" s="74"/>
      <c r="X30" s="301"/>
      <c r="Y30" s="74"/>
      <c r="Z30" s="74"/>
      <c r="AA30" s="74"/>
      <c r="AB30" s="74"/>
      <c r="AC30" s="74"/>
      <c r="AD30" s="728"/>
    </row>
    <row r="31" spans="1:30" s="5" customFormat="1" ht="33" customHeight="1">
      <c r="A31" s="93"/>
      <c r="B31" s="75" t="s">
        <v>44</v>
      </c>
      <c r="C31" s="1310" t="s">
        <v>266</v>
      </c>
      <c r="D31" s="1310"/>
      <c r="E31" s="302">
        <f>'4.sz.m.ÖNK kiadás'!E34</f>
        <v>0</v>
      </c>
      <c r="F31" s="92">
        <f>'4.sz.m.ÖNK kiadás'!F34</f>
        <v>0</v>
      </c>
      <c r="G31" s="92">
        <f>'4.sz.m.ÖNK kiadás'!G34</f>
        <v>0</v>
      </c>
      <c r="H31" s="729">
        <f>'4.sz.m.ÖNK kiadás'!H34</f>
        <v>0</v>
      </c>
      <c r="I31" s="1149">
        <f>'4.sz.m.ÖNK kiadás'!I34</f>
        <v>0</v>
      </c>
      <c r="J31" s="302">
        <f>'4.sz.m.ÖNK kiadás'!J34</f>
        <v>0</v>
      </c>
      <c r="K31" s="302">
        <f>'4.sz.m.ÖNK kiadás'!L34</f>
        <v>0</v>
      </c>
      <c r="L31" s="92">
        <f>'4.sz.m.ÖNK kiadás'!M34</f>
        <v>0</v>
      </c>
      <c r="M31" s="92">
        <f>'4.sz.m.ÖNK kiadás'!N34</f>
        <v>0</v>
      </c>
      <c r="N31" s="729">
        <f>'4.sz.m.ÖNK kiadás'!O34</f>
        <v>0</v>
      </c>
      <c r="O31" s="1147">
        <f>'4.sz.m.ÖNK kiadás'!P34</f>
        <v>0</v>
      </c>
      <c r="P31" s="92">
        <f>J31</f>
        <v>0</v>
      </c>
      <c r="Q31" s="669"/>
      <c r="R31" s="297">
        <v>0</v>
      </c>
      <c r="S31" s="241">
        <v>0</v>
      </c>
      <c r="T31" s="241">
        <v>0</v>
      </c>
      <c r="U31" s="725">
        <v>0</v>
      </c>
      <c r="V31" s="1147"/>
      <c r="W31" s="241"/>
      <c r="X31" s="297">
        <v>0</v>
      </c>
      <c r="Y31" s="241"/>
      <c r="Z31" s="241"/>
      <c r="AA31" s="241"/>
      <c r="AB31" s="241"/>
      <c r="AC31" s="241"/>
      <c r="AD31" s="725"/>
    </row>
    <row r="32" spans="1:30" s="5" customFormat="1" ht="33" customHeight="1">
      <c r="A32" s="89"/>
      <c r="B32" s="76" t="s">
        <v>309</v>
      </c>
      <c r="C32" s="1355" t="s">
        <v>434</v>
      </c>
      <c r="D32" s="1355"/>
      <c r="E32" s="330">
        <f>'4.sz.m.ÖNK kiadás'!E35</f>
        <v>0</v>
      </c>
      <c r="F32" s="1153">
        <f>'4.sz.m.ÖNK kiadás'!F35</f>
        <v>0</v>
      </c>
      <c r="G32" s="1153">
        <f>'4.sz.m.ÖNK kiadás'!G35</f>
        <v>0</v>
      </c>
      <c r="H32" s="813">
        <f>'4.sz.m.ÖNK kiadás'!H35</f>
        <v>0</v>
      </c>
      <c r="I32" s="1150">
        <f>'4.sz.m.ÖNK kiadás'!I35</f>
        <v>0</v>
      </c>
      <c r="J32" s="330">
        <f>'4.sz.m.ÖNK kiadás'!J35</f>
        <v>0</v>
      </c>
      <c r="K32" s="330">
        <f>'4.sz.m.ÖNK kiadás'!L35</f>
        <v>0</v>
      </c>
      <c r="L32" s="1153">
        <f>'4.sz.m.ÖNK kiadás'!M35</f>
        <v>0</v>
      </c>
      <c r="M32" s="1153">
        <f>'4.sz.m.ÖNK kiadás'!N35</f>
        <v>0</v>
      </c>
      <c r="N32" s="813">
        <f>'4.sz.m.ÖNK kiadás'!O35</f>
        <v>0</v>
      </c>
      <c r="O32" s="1149">
        <f>'4.sz.m.ÖNK kiadás'!P35</f>
        <v>0</v>
      </c>
      <c r="P32" s="92">
        <f>J32</f>
        <v>0</v>
      </c>
      <c r="Q32" s="672"/>
      <c r="R32" s="302">
        <v>0</v>
      </c>
      <c r="S32" s="92">
        <v>0</v>
      </c>
      <c r="T32" s="92">
        <v>0</v>
      </c>
      <c r="U32" s="729">
        <v>0</v>
      </c>
      <c r="V32" s="1149"/>
      <c r="W32" s="92"/>
      <c r="X32" s="302">
        <v>0</v>
      </c>
      <c r="Y32" s="92"/>
      <c r="Z32" s="92"/>
      <c r="AA32" s="92"/>
      <c r="AB32" s="92"/>
      <c r="AC32" s="92"/>
      <c r="AD32" s="729"/>
    </row>
    <row r="33" spans="1:30" s="5" customFormat="1" ht="33" customHeight="1" thickBot="1">
      <c r="A33" s="89"/>
      <c r="B33" s="76" t="s">
        <v>411</v>
      </c>
      <c r="C33" s="1359" t="s">
        <v>410</v>
      </c>
      <c r="D33" s="1359"/>
      <c r="E33" s="302">
        <f>'4.sz.m.ÖNK kiadás'!E37</f>
        <v>10912646</v>
      </c>
      <c r="F33" s="92">
        <f>'4.sz.m.ÖNK kiadás'!F37</f>
        <v>10912646</v>
      </c>
      <c r="G33" s="92">
        <f>'4.sz.m.ÖNK kiadás'!G37</f>
        <v>10912646</v>
      </c>
      <c r="H33" s="729">
        <f>'4.sz.m.ÖNK kiadás'!H37</f>
        <v>10912646</v>
      </c>
      <c r="I33" s="1149">
        <f>'4.sz.m.ÖNK kiadás'!I37</f>
        <v>0</v>
      </c>
      <c r="J33" s="302">
        <f>'4.sz.m.ÖNK kiadás'!J37</f>
        <v>0</v>
      </c>
      <c r="K33" s="302">
        <f>'4.sz.m.ÖNK kiadás'!L37</f>
        <v>10912646</v>
      </c>
      <c r="L33" s="92">
        <f>'4.sz.m.ÖNK kiadás'!M37</f>
        <v>10912646</v>
      </c>
      <c r="M33" s="92">
        <f>'4.sz.m.ÖNK kiadás'!N37</f>
        <v>10912646</v>
      </c>
      <c r="N33" s="729">
        <f>'4.sz.m.ÖNK kiadás'!O37</f>
        <v>10912646</v>
      </c>
      <c r="O33" s="1149">
        <f>'4.sz.m.ÖNK kiadás'!P37</f>
        <v>0</v>
      </c>
      <c r="P33" s="92">
        <f>J33</f>
        <v>0</v>
      </c>
      <c r="Q33" s="669" t="e">
        <f>#REF!/N33</f>
        <v>#REF!</v>
      </c>
      <c r="R33" s="302">
        <v>0</v>
      </c>
      <c r="S33" s="92">
        <v>0</v>
      </c>
      <c r="T33" s="92">
        <v>0</v>
      </c>
      <c r="U33" s="729">
        <v>0</v>
      </c>
      <c r="V33" s="1149"/>
      <c r="W33" s="92"/>
      <c r="X33" s="302">
        <v>0</v>
      </c>
      <c r="Y33" s="92"/>
      <c r="Z33" s="92"/>
      <c r="AA33" s="92"/>
      <c r="AB33" s="92"/>
      <c r="AC33" s="92"/>
      <c r="AD33" s="729"/>
    </row>
    <row r="34" spans="1:30" s="5" customFormat="1" ht="33" customHeight="1" thickBot="1">
      <c r="A34" s="315" t="s">
        <v>13</v>
      </c>
      <c r="B34" s="1360" t="s">
        <v>225</v>
      </c>
      <c r="C34" s="1360"/>
      <c r="D34" s="1360"/>
      <c r="E34" s="316">
        <f aca="true" t="shared" si="12" ref="E34:P34">E29+E30</f>
        <v>926538413</v>
      </c>
      <c r="F34" s="317">
        <f t="shared" si="12"/>
        <v>913086186</v>
      </c>
      <c r="G34" s="317">
        <f t="shared" si="12"/>
        <v>935101839</v>
      </c>
      <c r="H34" s="730">
        <f t="shared" si="12"/>
        <v>992603117</v>
      </c>
      <c r="I34" s="1151">
        <f t="shared" si="12"/>
        <v>57410165</v>
      </c>
      <c r="J34" s="316">
        <f t="shared" si="12"/>
        <v>0</v>
      </c>
      <c r="K34" s="316">
        <f t="shared" si="12"/>
        <v>891222651</v>
      </c>
      <c r="L34" s="317">
        <f t="shared" si="12"/>
        <v>869810645</v>
      </c>
      <c r="M34" s="317">
        <f>M29+M30</f>
        <v>891826298</v>
      </c>
      <c r="N34" s="730">
        <f>N29+N30</f>
        <v>954002171</v>
      </c>
      <c r="O34" s="1151" t="e">
        <f t="shared" si="12"/>
        <v>#REF!</v>
      </c>
      <c r="P34" s="317" t="e">
        <f t="shared" si="12"/>
        <v>#REF!</v>
      </c>
      <c r="Q34" s="673" t="e">
        <f>#REF!/N34</f>
        <v>#REF!</v>
      </c>
      <c r="R34" s="316">
        <f aca="true" t="shared" si="13" ref="R34:Z34">R29+R30</f>
        <v>35315762</v>
      </c>
      <c r="S34" s="317">
        <f>S29+S30</f>
        <v>43275541</v>
      </c>
      <c r="T34" s="317">
        <f>T29+T30</f>
        <v>43275541</v>
      </c>
      <c r="U34" s="730">
        <f>U29+U30</f>
        <v>38600946</v>
      </c>
      <c r="V34" s="1151">
        <f>V29+V30</f>
        <v>18884529</v>
      </c>
      <c r="W34" s="317">
        <f>W29+W30</f>
        <v>0</v>
      </c>
      <c r="X34" s="316">
        <f t="shared" si="13"/>
        <v>7923383</v>
      </c>
      <c r="Y34" s="317">
        <f t="shared" si="13"/>
        <v>7923383</v>
      </c>
      <c r="Z34" s="317">
        <f t="shared" si="13"/>
        <v>7923383</v>
      </c>
      <c r="AA34" s="317">
        <f>AA29+AA30</f>
        <v>7923383</v>
      </c>
      <c r="AB34" s="317">
        <f>AB29+AB30</f>
        <v>5610894</v>
      </c>
      <c r="AC34" s="317">
        <f>AC29+AC30</f>
        <v>0</v>
      </c>
      <c r="AD34" s="730">
        <f>AD29+AD30</f>
        <v>0</v>
      </c>
    </row>
    <row r="35" spans="1:30" s="5" customFormat="1" ht="33" customHeight="1" hidden="1" thickBot="1">
      <c r="A35" s="1357" t="s">
        <v>226</v>
      </c>
      <c r="B35" s="1358"/>
      <c r="C35" s="1358"/>
      <c r="D35" s="1358"/>
      <c r="E35" s="370"/>
      <c r="F35" s="318"/>
      <c r="G35" s="318"/>
      <c r="H35" s="1154"/>
      <c r="I35" s="1152"/>
      <c r="J35" s="370"/>
      <c r="K35" s="370"/>
      <c r="L35" s="318"/>
      <c r="M35" s="318"/>
      <c r="N35" s="1154"/>
      <c r="O35" s="1152"/>
      <c r="P35" s="318"/>
      <c r="Q35" s="672"/>
      <c r="R35" s="370"/>
      <c r="S35" s="318"/>
      <c r="T35" s="318"/>
      <c r="U35" s="1154"/>
      <c r="V35" s="1152"/>
      <c r="W35" s="318"/>
      <c r="X35" s="370"/>
      <c r="Y35" s="318"/>
      <c r="Z35" s="318"/>
      <c r="AA35" s="318"/>
      <c r="AB35" s="318"/>
      <c r="AC35" s="318"/>
      <c r="AD35" s="729"/>
    </row>
    <row r="36" spans="1:30" s="5" customFormat="1" ht="33" customHeight="1" thickBot="1">
      <c r="A36" s="1308" t="s">
        <v>101</v>
      </c>
      <c r="B36" s="1309"/>
      <c r="C36" s="1309"/>
      <c r="D36" s="1309"/>
      <c r="E36" s="298">
        <f aca="true" t="shared" si="14" ref="E36:P36">E34+E35</f>
        <v>926538413</v>
      </c>
      <c r="F36" s="40">
        <f t="shared" si="14"/>
        <v>913086186</v>
      </c>
      <c r="G36" s="40">
        <f t="shared" si="14"/>
        <v>935101839</v>
      </c>
      <c r="H36" s="726">
        <f t="shared" si="14"/>
        <v>992603117</v>
      </c>
      <c r="I36" s="1137">
        <f t="shared" si="14"/>
        <v>57410165</v>
      </c>
      <c r="J36" s="298">
        <f t="shared" si="14"/>
        <v>0</v>
      </c>
      <c r="K36" s="298">
        <f t="shared" si="14"/>
        <v>891222651</v>
      </c>
      <c r="L36" s="40">
        <f>L34+L35</f>
        <v>869810645</v>
      </c>
      <c r="M36" s="40">
        <f>M34+M35</f>
        <v>891826298</v>
      </c>
      <c r="N36" s="726">
        <f>N34+N35</f>
        <v>954002171</v>
      </c>
      <c r="O36" s="1137" t="e">
        <f t="shared" si="14"/>
        <v>#REF!</v>
      </c>
      <c r="P36" s="40" t="e">
        <f t="shared" si="14"/>
        <v>#REF!</v>
      </c>
      <c r="Q36" s="667" t="e">
        <f>#REF!/N36</f>
        <v>#REF!</v>
      </c>
      <c r="R36" s="298">
        <f aca="true" t="shared" si="15" ref="R36:AD36">R34+R35</f>
        <v>35315762</v>
      </c>
      <c r="S36" s="40">
        <f t="shared" si="15"/>
        <v>43275541</v>
      </c>
      <c r="T36" s="40">
        <f>T34+T35</f>
        <v>43275541</v>
      </c>
      <c r="U36" s="726">
        <f>U34+U35</f>
        <v>38600946</v>
      </c>
      <c r="V36" s="1137">
        <f t="shared" si="15"/>
        <v>18884529</v>
      </c>
      <c r="W36" s="40">
        <f>W34+W35</f>
        <v>0</v>
      </c>
      <c r="X36" s="298">
        <f t="shared" si="15"/>
        <v>7923383</v>
      </c>
      <c r="Y36" s="40">
        <f t="shared" si="15"/>
        <v>7923383</v>
      </c>
      <c r="Z36" s="40">
        <f t="shared" si="15"/>
        <v>7923383</v>
      </c>
      <c r="AA36" s="40">
        <f t="shared" si="15"/>
        <v>7923383</v>
      </c>
      <c r="AB36" s="40">
        <f t="shared" si="15"/>
        <v>5610894</v>
      </c>
      <c r="AC36" s="40">
        <f t="shared" si="15"/>
        <v>0</v>
      </c>
      <c r="AD36" s="726">
        <f t="shared" si="15"/>
        <v>0</v>
      </c>
    </row>
    <row r="37" spans="1:29" s="5" customFormat="1" ht="19.5" customHeight="1">
      <c r="A37" s="33"/>
      <c r="B37" s="78"/>
      <c r="C37" s="33"/>
      <c r="D37" s="33"/>
      <c r="E37" s="842" t="str">
        <f>IF(K36+R36=E36," ","HIBA-nincs egyenlőség")</f>
        <v> </v>
      </c>
      <c r="F37" s="842" t="str">
        <f>IF(L36+S36=F36," ","HIBA-nincs egyenlőség")</f>
        <v> </v>
      </c>
      <c r="G37" s="842" t="str">
        <f>IF(M36+T36=G36," ","HIBA-nincs egyenlőség")</f>
        <v> </v>
      </c>
      <c r="H37" s="842" t="str">
        <f>IF(N36+U36=H36," ","HIBA-nincs egyenlőség")</f>
        <v> </v>
      </c>
      <c r="I37" s="842"/>
      <c r="J37" s="842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372"/>
      <c r="Y37" s="372"/>
      <c r="Z37" s="372"/>
      <c r="AA37" s="372"/>
      <c r="AB37" s="372"/>
      <c r="AC37" s="372"/>
    </row>
    <row r="38" spans="1:29" s="5" customFormat="1" ht="19.5" customHeight="1">
      <c r="A38" s="33"/>
      <c r="B38" s="78"/>
      <c r="C38" s="33"/>
      <c r="D38" s="33"/>
      <c r="E38" s="6"/>
      <c r="F38" s="6"/>
      <c r="G38" s="6"/>
      <c r="H38" s="6"/>
      <c r="I38" s="6"/>
      <c r="J38" s="6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371"/>
      <c r="Y38" s="371"/>
      <c r="Z38" s="371"/>
      <c r="AA38" s="371"/>
      <c r="AB38" s="371"/>
      <c r="AC38" s="371"/>
    </row>
    <row r="39" spans="1:29" s="5" customFormat="1" ht="19.5" customHeight="1">
      <c r="A39" s="33"/>
      <c r="B39" s="78"/>
      <c r="C39" s="1345" t="s">
        <v>50</v>
      </c>
      <c r="D39" s="1345"/>
      <c r="E39" s="1345"/>
      <c r="F39" s="1345"/>
      <c r="G39" s="1345"/>
      <c r="H39" s="1345"/>
      <c r="I39" s="1345"/>
      <c r="J39" s="1345"/>
      <c r="K39" s="1345"/>
      <c r="L39" s="1345"/>
      <c r="M39" s="1345"/>
      <c r="N39" s="1345"/>
      <c r="O39" s="1345"/>
      <c r="P39" s="1345"/>
      <c r="Q39" s="1345"/>
      <c r="R39" s="1345"/>
      <c r="S39" s="244"/>
      <c r="T39" s="244"/>
      <c r="U39" s="244"/>
      <c r="V39" s="244"/>
      <c r="W39" s="244"/>
      <c r="X39" s="373"/>
      <c r="Y39" s="373"/>
      <c r="Z39" s="373"/>
      <c r="AA39" s="373"/>
      <c r="AB39" s="373"/>
      <c r="AC39" s="374"/>
    </row>
    <row r="40" spans="1:29" s="5" customFormat="1" ht="19.5" customHeight="1" thickBot="1">
      <c r="A40" s="206" t="s">
        <v>51</v>
      </c>
      <c r="B40" s="206"/>
      <c r="F40" s="185"/>
      <c r="G40" s="185"/>
      <c r="H40" s="185"/>
      <c r="I40" s="185"/>
      <c r="J40" s="185"/>
      <c r="K40" s="186"/>
      <c r="L40" s="186"/>
      <c r="M40" s="186"/>
      <c r="N40" s="186"/>
      <c r="O40" s="186"/>
      <c r="P40" s="186"/>
      <c r="Q40" s="186"/>
      <c r="R40" s="187">
        <v>0</v>
      </c>
      <c r="S40" s="187"/>
      <c r="T40" s="187"/>
      <c r="U40" s="187"/>
      <c r="V40" s="187"/>
      <c r="W40" s="187"/>
      <c r="X40" s="375"/>
      <c r="Y40" s="375"/>
      <c r="Z40" s="375"/>
      <c r="AA40" s="375"/>
      <c r="AB40" s="375"/>
      <c r="AC40" s="376"/>
    </row>
    <row r="41" spans="1:31" ht="52.5" customHeight="1" thickBot="1">
      <c r="A41" s="188">
        <v>1</v>
      </c>
      <c r="B41" s="1324" t="s">
        <v>150</v>
      </c>
      <c r="C41" s="1325"/>
      <c r="D41" s="1326"/>
      <c r="E41" s="205">
        <f>'1.sz.m-önk.össze.bev'!E58-'1 .sz.m.önk.össz.kiad.'!E29</f>
        <v>-293366907</v>
      </c>
      <c r="F41" s="205">
        <f>'1.sz.m-önk.össze.bev'!F58-'1 .sz.m.önk.össz.kiad.'!F29</f>
        <v>-293366907</v>
      </c>
      <c r="G41" s="205">
        <f>'1.sz.m-önk.össze.bev'!G58-'1 .sz.m.önk.össz.kiad.'!G29</f>
        <v>-293366907</v>
      </c>
      <c r="H41" s="205">
        <f>'1.sz.m-önk.össze.bev'!H58-'1 .sz.m.önk.össz.kiad.'!H29</f>
        <v>-309543354</v>
      </c>
      <c r="I41" s="205">
        <f>'1.sz.m-önk.össze.bev'!I58-'1 .sz.m.önk.össz.kiad.'!I29</f>
        <v>107850309</v>
      </c>
      <c r="J41" s="205">
        <f>'1.sz.m-önk.össze.bev'!J58-'1 .sz.m.önk.össz.kiad.'!J29</f>
        <v>0</v>
      </c>
      <c r="K41" s="205">
        <f>'1.sz.m-önk.össze.bev'!K58-'1 .sz.m.önk.össz.kiad.'!K29</f>
        <v>-277731113</v>
      </c>
      <c r="L41" s="205">
        <f>'1.sz.m-önk.össze.bev'!L58-'1 .sz.m.önk.össz.kiad.'!L29</f>
        <v>-277731113</v>
      </c>
      <c r="M41" s="205">
        <f>'1.sz.m-önk.össze.bev'!M58-'1 .sz.m.önk.össz.kiad.'!M29</f>
        <v>-277731113</v>
      </c>
      <c r="N41" s="205">
        <f>'1.sz.m-önk.össze.bev'!N58-'1 .sz.m.önk.össz.kiad.'!N29</f>
        <v>-293907560</v>
      </c>
      <c r="O41" s="205" t="e">
        <f>'1.sz.m-önk.össze.bev'!O58-'1 .sz.m.önk.össz.kiad.'!O29</f>
        <v>#REF!</v>
      </c>
      <c r="P41" s="205" t="e">
        <f>'1.sz.m-önk.össze.bev'!P58-'1 .sz.m.önk.össz.kiad.'!P29</f>
        <v>#REF!</v>
      </c>
      <c r="Q41" s="205" t="e">
        <f>'1.sz.m-önk.össze.bev'!Q58-'1 .sz.m.önk.össz.kiad.'!Q29</f>
        <v>#REF!</v>
      </c>
      <c r="R41" s="205">
        <f>'1.sz.m-önk.össze.bev'!R58-'1 .sz.m.önk.össz.kiad.'!R29</f>
        <v>-15635794</v>
      </c>
      <c r="S41" s="205">
        <f>'1.sz.m-önk.össze.bev'!S58-'1 .sz.m.önk.össz.kiad.'!S29</f>
        <v>-15635794</v>
      </c>
      <c r="T41" s="205">
        <f>'1.sz.m-önk.össze.bev'!T58-'1 .sz.m.önk.össz.kiad.'!T29</f>
        <v>-15635794</v>
      </c>
      <c r="U41" s="205">
        <f>'1.sz.m-önk.össze.bev'!U58-'1 .sz.m.önk.össz.kiad.'!U29</f>
        <v>-15635794</v>
      </c>
      <c r="V41" s="205">
        <f>'1.sz.m-önk.össze.bev'!V58-'1 .sz.m.önk.össz.kiad.'!V29</f>
        <v>8</v>
      </c>
      <c r="W41" s="205">
        <f>'1.sz.m-önk.össze.bev'!W58-'1 .sz.m.önk.össz.kiad.'!W29</f>
        <v>20150631</v>
      </c>
      <c r="X41" s="205">
        <f>'1.sz.m-önk.össze.bev'!X58-'1 .sz.m.önk.össz.kiad.'!X29</f>
        <v>0</v>
      </c>
      <c r="Y41" s="205">
        <f>'1.sz.m-önk.össze.bev'!Y58-'1 .sz.m.önk.össz.kiad.'!Y29</f>
        <v>0</v>
      </c>
      <c r="Z41" s="205">
        <f>'1.sz.m-önk.össze.bev'!Z58-'1 .sz.m.önk.össz.kiad.'!Z29</f>
        <v>0</v>
      </c>
      <c r="AA41" s="205">
        <f>'1.sz.m-önk.össze.bev'!AA58-'1 .sz.m.önk.össz.kiad.'!AA29</f>
        <v>0</v>
      </c>
      <c r="AB41" s="205">
        <f>'1.sz.m-önk.össze.bev'!AB58-'1 .sz.m.önk.össz.kiad.'!AB29</f>
        <v>0</v>
      </c>
      <c r="AC41" s="205">
        <f>'1.sz.m-önk.össze.bev'!AC58-'1 .sz.m.önk.össz.kiad.'!AC29</f>
        <v>5610894</v>
      </c>
      <c r="AD41" s="205">
        <f>'1.sz.m-önk.össze.bev'!AD58-'1 .sz.m.önk.össz.kiad.'!AD29</f>
        <v>5610894</v>
      </c>
      <c r="AE41" s="205">
        <f>'1.sz.m-önk.össze.bev'!AE58-'1 .sz.m.önk.össz.kiad.'!AE29</f>
        <v>0</v>
      </c>
    </row>
    <row r="42" spans="1:23" ht="15.75">
      <c r="A42" s="80"/>
      <c r="B42" s="32"/>
      <c r="C42" s="185"/>
      <c r="D42" s="185"/>
      <c r="E42" s="189"/>
      <c r="F42" s="189"/>
      <c r="G42" s="189"/>
      <c r="H42" s="189"/>
      <c r="I42" s="189"/>
      <c r="J42" s="189"/>
      <c r="K42" s="186"/>
      <c r="L42" s="186"/>
      <c r="M42" s="186"/>
      <c r="N42" s="186"/>
      <c r="O42" s="186"/>
      <c r="P42" s="186"/>
      <c r="Q42" s="186"/>
      <c r="R42" s="187">
        <v>0</v>
      </c>
      <c r="S42" s="187"/>
      <c r="T42" s="187"/>
      <c r="U42" s="187"/>
      <c r="V42" s="187"/>
      <c r="W42" s="187"/>
    </row>
    <row r="43" spans="1:23" ht="15.75" customHeight="1">
      <c r="A43" s="80"/>
      <c r="B43" s="32"/>
      <c r="C43" s="1323" t="s">
        <v>151</v>
      </c>
      <c r="D43" s="1323"/>
      <c r="E43" s="1323"/>
      <c r="F43" s="1323"/>
      <c r="G43" s="1323"/>
      <c r="H43" s="1323"/>
      <c r="I43" s="1323"/>
      <c r="J43" s="1323"/>
      <c r="K43" s="1323"/>
      <c r="L43" s="1323"/>
      <c r="M43" s="1323"/>
      <c r="N43" s="1323"/>
      <c r="O43" s="1323"/>
      <c r="P43" s="1323"/>
      <c r="Q43" s="1323"/>
      <c r="R43" s="1323"/>
      <c r="S43" s="242"/>
      <c r="T43" s="242"/>
      <c r="U43" s="242"/>
      <c r="V43" s="242"/>
      <c r="W43" s="242"/>
    </row>
    <row r="44" spans="1:23" ht="16.5" thickBot="1">
      <c r="A44" s="206" t="s">
        <v>152</v>
      </c>
      <c r="B44" s="32"/>
      <c r="C44" s="1327"/>
      <c r="D44" s="1327"/>
      <c r="E44" s="185"/>
      <c r="F44" s="185"/>
      <c r="G44" s="185"/>
      <c r="H44" s="185"/>
      <c r="I44" s="185"/>
      <c r="J44" s="185"/>
      <c r="K44" s="186"/>
      <c r="L44" s="186"/>
      <c r="M44" s="186"/>
      <c r="N44" s="186"/>
      <c r="O44" s="186"/>
      <c r="P44" s="186"/>
      <c r="Q44" s="186"/>
      <c r="R44" s="187">
        <v>0</v>
      </c>
      <c r="S44" s="187"/>
      <c r="T44" s="187"/>
      <c r="U44" s="187"/>
      <c r="V44" s="187"/>
      <c r="W44" s="187"/>
    </row>
    <row r="45" spans="1:30" ht="27.75" customHeight="1">
      <c r="A45" s="201" t="s">
        <v>26</v>
      </c>
      <c r="B45" s="1334" t="s">
        <v>553</v>
      </c>
      <c r="C45" s="1335"/>
      <c r="D45" s="1336"/>
      <c r="E45" s="220">
        <f>'1.sz.m-önk.össze.bev'!E62-'2.sz.m.összehasonlító'!B28</f>
        <v>177159235</v>
      </c>
      <c r="F45" s="220">
        <f>'1.sz.m-önk.össze.bev'!F62-'2.sz.m.összehasonlító'!C28</f>
        <v>177159235</v>
      </c>
      <c r="G45" s="220">
        <f>'1.sz.m-önk.össze.bev'!G62-'2.sz.m.összehasonlító'!D28</f>
        <v>177159235</v>
      </c>
      <c r="H45" s="220">
        <f>'1.sz.m-önk.össze.bev'!H62-'2.sz.m.összehasonlító'!E28</f>
        <v>179336447</v>
      </c>
      <c r="I45" s="220">
        <f>'1.sz.m-önk.össze.bev'!I62-'2.sz.m.összehasonlító'!F28</f>
        <v>-66329503</v>
      </c>
      <c r="J45" s="220">
        <f>'1.sz.m-önk.össze.bev'!J62-'2.sz.m.összehasonlító'!G28</f>
        <v>0</v>
      </c>
      <c r="K45" s="220">
        <f>'1.sz.m-önk.össze.bev'!K62-'2.sz.m.összehasonlító'!B28+R46</f>
        <v>164105960</v>
      </c>
      <c r="L45" s="220">
        <f>'1.sz.m-önk.össze.bev'!L62-'2.sz.m.összehasonlító'!C28</f>
        <v>161523441</v>
      </c>
      <c r="M45" s="220">
        <f>'1.sz.m-önk.össze.bev'!M62-'2.sz.m.összehasonlító'!D28</f>
        <v>161523441</v>
      </c>
      <c r="N45" s="220">
        <f>'1.sz.m-önk.össze.bev'!N62-'2.sz.m.összehasonlító'!E28</f>
        <v>163700653</v>
      </c>
      <c r="O45" s="220">
        <f>'1.sz.m-önk.össze.bev'!O62-'2.sz.m.összehasonlító'!F28</f>
        <v>-66329503</v>
      </c>
      <c r="P45" s="220">
        <f>'1.sz.m-önk.össze.bev'!P62-'2.sz.m.összehasonlító'!G28</f>
        <v>0</v>
      </c>
      <c r="Q45" s="220">
        <f>'1.sz.m-önk.össze.bev'!Q62</f>
        <v>0</v>
      </c>
      <c r="R45" s="220">
        <f>'1.sz.m-önk.össze.bev'!R62-R46</f>
        <v>13053275</v>
      </c>
      <c r="S45" s="220">
        <f>'1.sz.m-önk.össze.bev'!S62-S46</f>
        <v>13053275</v>
      </c>
      <c r="T45" s="220">
        <f>'1.sz.m-önk.össze.bev'!T62-T46</f>
        <v>13053275</v>
      </c>
      <c r="U45" s="220">
        <f>'1.sz.m-önk.össze.bev'!U62-U46</f>
        <v>13053275</v>
      </c>
      <c r="V45" s="220">
        <f>'1.sz.m-önk.össze.bev'!V62</f>
        <v>0</v>
      </c>
      <c r="W45" s="220">
        <f>'1.sz.m-önk.össze.bev'!W62</f>
        <v>0</v>
      </c>
      <c r="X45" s="220">
        <f>'1.sz.m-önk.össze.bev'!X62</f>
        <v>0</v>
      </c>
      <c r="Y45" s="220">
        <f>'1.sz.m-önk.össze.bev'!Y62</f>
        <v>0</v>
      </c>
      <c r="Z45" s="220">
        <f>'1.sz.m-önk.össze.bev'!Z62</f>
        <v>0</v>
      </c>
      <c r="AA45" s="220">
        <f>'1.sz.m-önk.össze.bev'!AA62</f>
        <v>0</v>
      </c>
      <c r="AB45" s="220">
        <f>'1.sz.m-önk.össze.bev'!AB62</f>
        <v>0</v>
      </c>
      <c r="AC45" s="220">
        <f>'1.sz.m-önk.össze.bev'!AC62</f>
        <v>0</v>
      </c>
      <c r="AD45" s="220">
        <f>'1.sz.m-önk.össze.bev'!AD62</f>
        <v>0</v>
      </c>
    </row>
    <row r="46" spans="1:30" ht="27.75" customHeight="1">
      <c r="A46" s="202" t="s">
        <v>27</v>
      </c>
      <c r="B46" s="1328" t="s">
        <v>554</v>
      </c>
      <c r="C46" s="1329"/>
      <c r="D46" s="1330"/>
      <c r="E46" s="221">
        <f>'2.sz.m.összehasonlító'!B28</f>
        <v>127120318</v>
      </c>
      <c r="F46" s="221">
        <f>'2.sz.m.összehasonlító'!C28</f>
        <v>127120318</v>
      </c>
      <c r="G46" s="221">
        <f>'2.sz.m.összehasonlító'!D28</f>
        <v>127120318</v>
      </c>
      <c r="H46" s="221">
        <f>'2.sz.m.összehasonlító'!E28</f>
        <v>127120318</v>
      </c>
      <c r="I46" s="221">
        <f>'2.sz.m.összehasonlító'!F28</f>
        <v>66329503</v>
      </c>
      <c r="J46" s="221">
        <f>'2.sz.m.összehasonlító'!G28</f>
        <v>0</v>
      </c>
      <c r="K46" s="221">
        <f>'2.sz.m.összehasonlító'!B28-R46</f>
        <v>124537799</v>
      </c>
      <c r="L46" s="221">
        <f>'2.sz.m.összehasonlító'!C28</f>
        <v>127120318</v>
      </c>
      <c r="M46" s="221">
        <f>'2.sz.m.összehasonlító'!D28</f>
        <v>127120318</v>
      </c>
      <c r="N46" s="221">
        <f>'2.sz.m.összehasonlító'!E28</f>
        <v>127120318</v>
      </c>
      <c r="O46" s="221">
        <f>'2.sz.m.összehasonlító'!F28</f>
        <v>66329503</v>
      </c>
      <c r="P46" s="221">
        <f>'2.sz.m.összehasonlító'!G28</f>
        <v>0</v>
      </c>
      <c r="Q46" s="221"/>
      <c r="R46" s="221">
        <f>+'6.a.sz.m.fejlesztés (4)'!L9+'6.a.sz.m.fejlesztés (4)'!L33</f>
        <v>2582519</v>
      </c>
      <c r="S46" s="221">
        <f>+'6.a.sz.m.fejlesztés (4)'!M9+'6.a.sz.m.fejlesztés (4)'!M33</f>
        <v>2582519</v>
      </c>
      <c r="T46" s="221">
        <f>+'6.a.sz.m.fejlesztés (4)'!N9+'6.a.sz.m.fejlesztés (4)'!N33</f>
        <v>2582519</v>
      </c>
      <c r="U46" s="221">
        <f>+'6.a.sz.m.fejlesztés (4)'!O9+'6.a.sz.m.fejlesztés (4)'!O33</f>
        <v>2582519</v>
      </c>
      <c r="V46" s="221"/>
      <c r="W46" s="221"/>
      <c r="X46" s="221"/>
      <c r="Y46" s="221"/>
      <c r="Z46" s="221"/>
      <c r="AA46" s="221"/>
      <c r="AB46" s="221"/>
      <c r="AC46" s="221"/>
      <c r="AD46" s="221"/>
    </row>
    <row r="47" spans="1:30" ht="27.75" customHeight="1" thickBot="1">
      <c r="A47" s="203" t="s">
        <v>9</v>
      </c>
      <c r="B47" s="1331" t="s">
        <v>555</v>
      </c>
      <c r="C47" s="1332"/>
      <c r="D47" s="1333"/>
      <c r="E47" s="219">
        <f aca="true" t="shared" si="16" ref="E47:L47">E45+E46</f>
        <v>304279553</v>
      </c>
      <c r="F47" s="219">
        <f t="shared" si="16"/>
        <v>304279553</v>
      </c>
      <c r="G47" s="219">
        <f>G45+G46</f>
        <v>304279553</v>
      </c>
      <c r="H47" s="219">
        <f>H45+H46</f>
        <v>306456765</v>
      </c>
      <c r="I47" s="219">
        <f>I45+I46</f>
        <v>0</v>
      </c>
      <c r="J47" s="219">
        <f>J45+J46</f>
        <v>0</v>
      </c>
      <c r="K47" s="219">
        <f t="shared" si="16"/>
        <v>288643759</v>
      </c>
      <c r="L47" s="219">
        <f t="shared" si="16"/>
        <v>288643759</v>
      </c>
      <c r="M47" s="219">
        <f>M45+M46</f>
        <v>288643759</v>
      </c>
      <c r="N47" s="219">
        <f>N45+N46</f>
        <v>290820971</v>
      </c>
      <c r="O47" s="219">
        <f>O45+O46</f>
        <v>0</v>
      </c>
      <c r="P47" s="219">
        <f>P45+P46</f>
        <v>0</v>
      </c>
      <c r="Q47" s="219">
        <f aca="true" t="shared" si="17" ref="Q47:AC47">Q45+Q46</f>
        <v>0</v>
      </c>
      <c r="R47" s="219">
        <f t="shared" si="17"/>
        <v>15635794</v>
      </c>
      <c r="S47" s="219">
        <f t="shared" si="17"/>
        <v>15635794</v>
      </c>
      <c r="T47" s="219">
        <f>T45+T46</f>
        <v>15635794</v>
      </c>
      <c r="U47" s="219">
        <f t="shared" si="17"/>
        <v>15635794</v>
      </c>
      <c r="V47" s="219">
        <f t="shared" si="17"/>
        <v>0</v>
      </c>
      <c r="W47" s="219">
        <f t="shared" si="17"/>
        <v>0</v>
      </c>
      <c r="X47" s="219">
        <f t="shared" si="17"/>
        <v>0</v>
      </c>
      <c r="Y47" s="219">
        <f t="shared" si="17"/>
        <v>0</v>
      </c>
      <c r="Z47" s="219">
        <f t="shared" si="17"/>
        <v>0</v>
      </c>
      <c r="AA47" s="219">
        <f t="shared" si="17"/>
        <v>0</v>
      </c>
      <c r="AB47" s="219">
        <f t="shared" si="17"/>
        <v>0</v>
      </c>
      <c r="AC47" s="219">
        <f t="shared" si="17"/>
        <v>0</v>
      </c>
      <c r="AD47" s="219">
        <f>AD45+AD46</f>
        <v>0</v>
      </c>
    </row>
    <row r="48" spans="1:24" ht="15.75">
      <c r="A48" s="80"/>
      <c r="B48" s="32"/>
      <c r="C48" s="190"/>
      <c r="D48" s="191"/>
      <c r="E48" s="192"/>
      <c r="F48" s="192"/>
      <c r="G48" s="192"/>
      <c r="H48" s="192"/>
      <c r="I48" s="192"/>
      <c r="J48" s="192"/>
      <c r="K48" s="186"/>
      <c r="L48" s="186"/>
      <c r="M48" s="186"/>
      <c r="N48" s="186"/>
      <c r="O48" s="186"/>
      <c r="P48" s="186"/>
      <c r="Q48" s="186"/>
      <c r="R48" s="187"/>
      <c r="S48" s="187"/>
      <c r="T48" s="187"/>
      <c r="U48" s="187"/>
      <c r="V48" s="187"/>
      <c r="W48" s="187"/>
      <c r="X48" s="1"/>
    </row>
    <row r="49" spans="1:23" ht="15.75" customHeight="1">
      <c r="A49" s="80"/>
      <c r="B49" s="32"/>
      <c r="C49" s="1323" t="s">
        <v>153</v>
      </c>
      <c r="D49" s="1323"/>
      <c r="E49" s="1323"/>
      <c r="F49" s="1323"/>
      <c r="G49" s="1323"/>
      <c r="H49" s="1323"/>
      <c r="I49" s="1323"/>
      <c r="J49" s="1323"/>
      <c r="K49" s="1323"/>
      <c r="L49" s="1323"/>
      <c r="M49" s="1323"/>
      <c r="N49" s="1323"/>
      <c r="O49" s="1323"/>
      <c r="P49" s="1323"/>
      <c r="Q49" s="1323"/>
      <c r="R49" s="1323"/>
      <c r="S49" s="242"/>
      <c r="T49" s="242"/>
      <c r="U49" s="242"/>
      <c r="V49" s="242"/>
      <c r="W49" s="242"/>
    </row>
    <row r="50" spans="1:23" ht="16.5" thickBot="1">
      <c r="A50" s="206" t="s">
        <v>154</v>
      </c>
      <c r="B50" s="206"/>
      <c r="C50" s="1361"/>
      <c r="D50" s="1361"/>
      <c r="E50" s="185"/>
      <c r="F50" s="185"/>
      <c r="G50" s="185"/>
      <c r="H50" s="185"/>
      <c r="I50" s="185"/>
      <c r="J50" s="185"/>
      <c r="K50" s="186"/>
      <c r="L50" s="186"/>
      <c r="M50" s="186"/>
      <c r="N50" s="186"/>
      <c r="O50" s="186"/>
      <c r="P50" s="186"/>
      <c r="Q50" s="186"/>
      <c r="R50" s="187">
        <v>0</v>
      </c>
      <c r="S50" s="187"/>
      <c r="T50" s="187"/>
      <c r="U50" s="187"/>
      <c r="V50" s="187"/>
      <c r="W50" s="187"/>
    </row>
    <row r="51" spans="1:31" ht="27.75" customHeight="1">
      <c r="A51" s="201" t="s">
        <v>26</v>
      </c>
      <c r="B51" s="1334" t="s">
        <v>556</v>
      </c>
      <c r="C51" s="1335"/>
      <c r="D51" s="1336"/>
      <c r="E51" s="207">
        <v>0</v>
      </c>
      <c r="F51" s="207">
        <v>0</v>
      </c>
      <c r="G51" s="207">
        <v>0</v>
      </c>
      <c r="H51" s="207">
        <v>0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207">
        <v>0</v>
      </c>
      <c r="T51" s="207">
        <v>0</v>
      </c>
      <c r="U51" s="207">
        <v>0</v>
      </c>
      <c r="V51" s="207">
        <v>0</v>
      </c>
      <c r="W51" s="207">
        <v>0</v>
      </c>
      <c r="X51" s="207">
        <v>0</v>
      </c>
      <c r="Y51" s="207">
        <v>0</v>
      </c>
      <c r="Z51" s="207">
        <v>0</v>
      </c>
      <c r="AA51" s="207">
        <v>0</v>
      </c>
      <c r="AB51" s="207">
        <v>0</v>
      </c>
      <c r="AC51" s="207">
        <v>0</v>
      </c>
      <c r="AD51" s="207">
        <v>0</v>
      </c>
      <c r="AE51" s="207">
        <v>0</v>
      </c>
    </row>
    <row r="52" spans="1:31" ht="27.75" customHeight="1">
      <c r="A52" s="202" t="s">
        <v>27</v>
      </c>
      <c r="B52" s="1328" t="s">
        <v>557</v>
      </c>
      <c r="C52" s="1329"/>
      <c r="D52" s="1330"/>
      <c r="E52" s="208">
        <f>'1.sz.m-önk.össze.bev'!E60</f>
        <v>0</v>
      </c>
      <c r="F52" s="208">
        <f>'1.sz.m-önk.össze.bev'!F60</f>
        <v>0</v>
      </c>
      <c r="G52" s="208">
        <f>'1.sz.m-önk.össze.bev'!G60</f>
        <v>0</v>
      </c>
      <c r="H52" s="208"/>
      <c r="I52" s="208">
        <f>'1.sz.m-önk.össze.bev'!I60</f>
        <v>0</v>
      </c>
      <c r="J52" s="208"/>
      <c r="K52" s="208">
        <f>'1.sz.m-önk.össze.bev'!K60</f>
        <v>0</v>
      </c>
      <c r="L52" s="208">
        <f>'1.sz.m-önk.össze.bev'!L60</f>
        <v>0</v>
      </c>
      <c r="M52" s="208">
        <f>'1.sz.m-önk.össze.bev'!M60</f>
        <v>0</v>
      </c>
      <c r="N52" s="208"/>
      <c r="O52" s="208">
        <f>'1.sz.m-önk.össze.bev'!O60</f>
        <v>0</v>
      </c>
      <c r="P52" s="208"/>
      <c r="Q52" s="208">
        <f>'1.sz.m-önk.össze.bev'!Q60</f>
        <v>0</v>
      </c>
      <c r="R52" s="208">
        <f>'1.sz.m-önk.össze.bev'!R60</f>
        <v>0</v>
      </c>
      <c r="S52" s="208">
        <f>'1.sz.m-önk.össze.bev'!S60</f>
        <v>0</v>
      </c>
      <c r="T52" s="208">
        <f>'1.sz.m-önk.össze.bev'!T60</f>
        <v>0</v>
      </c>
      <c r="U52" s="208">
        <f>'1.sz.m-önk.össze.bev'!U60</f>
        <v>0</v>
      </c>
      <c r="V52" s="208">
        <f>'1.sz.m-önk.össze.bev'!V60</f>
        <v>0</v>
      </c>
      <c r="W52" s="208">
        <f>'1.sz.m-önk.össze.bev'!W60</f>
        <v>0</v>
      </c>
      <c r="X52" s="208">
        <f>'1.sz.m-önk.össze.bev'!X60</f>
        <v>0</v>
      </c>
      <c r="Y52" s="208">
        <f>'1.sz.m-önk.össze.bev'!Y60</f>
        <v>0</v>
      </c>
      <c r="Z52" s="208">
        <f>'1.sz.m-önk.össze.bev'!Z60</f>
        <v>0</v>
      </c>
      <c r="AA52" s="208">
        <f>'1.sz.m-önk.össze.bev'!AA60</f>
        <v>0</v>
      </c>
      <c r="AB52" s="208">
        <f>'1.sz.m-önk.össze.bev'!AB60</f>
        <v>0</v>
      </c>
      <c r="AC52" s="208">
        <f>'1.sz.m-önk.össze.bev'!AC60</f>
        <v>0</v>
      </c>
      <c r="AD52" s="208">
        <f>'1.sz.m-önk.össze.bev'!AD60</f>
        <v>0</v>
      </c>
      <c r="AE52" s="208">
        <f>'1.sz.m-önk.össze.bev'!AE60</f>
        <v>0</v>
      </c>
    </row>
    <row r="53" spans="1:31" ht="27.75" customHeight="1" thickBot="1">
      <c r="A53" s="203" t="s">
        <v>9</v>
      </c>
      <c r="B53" s="1338" t="s">
        <v>558</v>
      </c>
      <c r="C53" s="1339"/>
      <c r="D53" s="1340"/>
      <c r="E53" s="209">
        <f aca="true" t="shared" si="18" ref="E53:J53">E51+E52</f>
        <v>0</v>
      </c>
      <c r="F53" s="209">
        <f t="shared" si="18"/>
        <v>0</v>
      </c>
      <c r="G53" s="209">
        <f t="shared" si="18"/>
        <v>0</v>
      </c>
      <c r="H53" s="209">
        <f t="shared" si="18"/>
        <v>0</v>
      </c>
      <c r="I53" s="209">
        <f t="shared" si="18"/>
        <v>0</v>
      </c>
      <c r="J53" s="209">
        <f t="shared" si="18"/>
        <v>0</v>
      </c>
      <c r="K53" s="209">
        <f aca="true" t="shared" si="19" ref="K53:AE53">K51+K52</f>
        <v>0</v>
      </c>
      <c r="L53" s="209">
        <f t="shared" si="19"/>
        <v>0</v>
      </c>
      <c r="M53" s="209">
        <f t="shared" si="19"/>
        <v>0</v>
      </c>
      <c r="N53" s="209">
        <f t="shared" si="19"/>
        <v>0</v>
      </c>
      <c r="O53" s="209">
        <f t="shared" si="19"/>
        <v>0</v>
      </c>
      <c r="P53" s="209">
        <f>P51+P52</f>
        <v>0</v>
      </c>
      <c r="Q53" s="209">
        <f t="shared" si="19"/>
        <v>0</v>
      </c>
      <c r="R53" s="209">
        <f t="shared" si="19"/>
        <v>0</v>
      </c>
      <c r="S53" s="209">
        <f t="shared" si="19"/>
        <v>0</v>
      </c>
      <c r="T53" s="209">
        <f t="shared" si="19"/>
        <v>0</v>
      </c>
      <c r="U53" s="209">
        <f t="shared" si="19"/>
        <v>0</v>
      </c>
      <c r="V53" s="209">
        <f t="shared" si="19"/>
        <v>0</v>
      </c>
      <c r="W53" s="209">
        <f t="shared" si="19"/>
        <v>0</v>
      </c>
      <c r="X53" s="209">
        <f t="shared" si="19"/>
        <v>0</v>
      </c>
      <c r="Y53" s="209">
        <f t="shared" si="19"/>
        <v>0</v>
      </c>
      <c r="Z53" s="209">
        <f t="shared" si="19"/>
        <v>0</v>
      </c>
      <c r="AA53" s="209">
        <f t="shared" si="19"/>
        <v>0</v>
      </c>
      <c r="AB53" s="209">
        <f t="shared" si="19"/>
        <v>0</v>
      </c>
      <c r="AC53" s="209">
        <f t="shared" si="19"/>
        <v>0</v>
      </c>
      <c r="AD53" s="209">
        <f t="shared" si="19"/>
        <v>0</v>
      </c>
      <c r="AE53" s="209">
        <f t="shared" si="19"/>
        <v>0</v>
      </c>
    </row>
    <row r="54" spans="1:28" ht="15.75">
      <c r="A54" s="80"/>
      <c r="B54" s="32"/>
      <c r="C54" s="190"/>
      <c r="D54" s="191"/>
      <c r="E54" s="192"/>
      <c r="F54" s="192"/>
      <c r="G54" s="192"/>
      <c r="H54" s="192"/>
      <c r="I54" s="192"/>
      <c r="J54" s="192"/>
      <c r="K54" s="186"/>
      <c r="L54" s="186"/>
      <c r="M54" s="186"/>
      <c r="N54" s="186"/>
      <c r="O54" s="186"/>
      <c r="P54" s="186"/>
      <c r="Q54" s="186"/>
      <c r="R54" s="187"/>
      <c r="S54" s="187"/>
      <c r="T54" s="187"/>
      <c r="U54" s="187"/>
      <c r="V54" s="187"/>
      <c r="W54" s="187"/>
      <c r="AB54" s="42"/>
    </row>
    <row r="55" spans="1:24" ht="15.75" customHeight="1">
      <c r="A55" s="80"/>
      <c r="B55" s="32"/>
      <c r="C55" s="1343" t="s">
        <v>52</v>
      </c>
      <c r="D55" s="1343"/>
      <c r="E55" s="1343"/>
      <c r="F55" s="1343"/>
      <c r="G55" s="1343"/>
      <c r="H55" s="1343"/>
      <c r="I55" s="1343"/>
      <c r="J55" s="1343"/>
      <c r="K55" s="1343"/>
      <c r="L55" s="1343"/>
      <c r="M55" s="1343"/>
      <c r="N55" s="1343"/>
      <c r="O55" s="1343"/>
      <c r="P55" s="1343"/>
      <c r="Q55" s="1343"/>
      <c r="R55" s="1323"/>
      <c r="S55" s="242"/>
      <c r="T55" s="242"/>
      <c r="U55" s="242"/>
      <c r="V55" s="242"/>
      <c r="W55" s="242"/>
      <c r="X55" s="96"/>
    </row>
    <row r="56" spans="1:23" ht="15.75">
      <c r="A56" s="80"/>
      <c r="B56" s="32"/>
      <c r="C56" s="193"/>
      <c r="D56" s="193"/>
      <c r="E56" s="193"/>
      <c r="F56" s="193"/>
      <c r="G56" s="193"/>
      <c r="H56" s="193"/>
      <c r="I56" s="193"/>
      <c r="J56" s="193"/>
      <c r="K56" s="194"/>
      <c r="L56" s="194"/>
      <c r="M56" s="194"/>
      <c r="N56" s="194"/>
      <c r="O56" s="194"/>
      <c r="P56" s="194"/>
      <c r="Q56" s="194"/>
      <c r="R56" s="195"/>
      <c r="S56" s="195"/>
      <c r="T56" s="195"/>
      <c r="U56" s="195"/>
      <c r="V56" s="195"/>
      <c r="W56" s="195"/>
    </row>
    <row r="57" spans="1:23" ht="16.5" thickBot="1">
      <c r="A57" s="206" t="s">
        <v>191</v>
      </c>
      <c r="C57" s="1344"/>
      <c r="D57" s="1344"/>
      <c r="E57" s="193"/>
      <c r="F57" s="193"/>
      <c r="G57" s="193"/>
      <c r="H57" s="193"/>
      <c r="I57" s="193"/>
      <c r="J57" s="193"/>
      <c r="K57" s="194"/>
      <c r="L57" s="194"/>
      <c r="M57" s="194"/>
      <c r="N57" s="194"/>
      <c r="O57" s="194"/>
      <c r="P57" s="194"/>
      <c r="Q57" s="194"/>
      <c r="R57" s="195"/>
      <c r="S57" s="195"/>
      <c r="T57" s="195"/>
      <c r="U57" s="195"/>
      <c r="V57" s="195"/>
      <c r="W57" s="195"/>
    </row>
    <row r="58" spans="1:30" ht="27" customHeight="1">
      <c r="A58" s="213" t="s">
        <v>26</v>
      </c>
      <c r="B58" s="1341" t="s">
        <v>155</v>
      </c>
      <c r="C58" s="1341"/>
      <c r="D58" s="1341"/>
      <c r="E58" s="214">
        <f>E59-E62</f>
        <v>293366907</v>
      </c>
      <c r="F58" s="214">
        <f>F59-F62</f>
        <v>293366907</v>
      </c>
      <c r="G58" s="214">
        <f>G59-G62</f>
        <v>293366907</v>
      </c>
      <c r="H58" s="214">
        <f>H59-H62</f>
        <v>309543354</v>
      </c>
      <c r="I58" s="214">
        <f>I59-I62</f>
        <v>0</v>
      </c>
      <c r="J58" s="214">
        <f aca="true" t="shared" si="20" ref="J58:AC58">J59-J62</f>
        <v>0</v>
      </c>
      <c r="K58" s="214">
        <f t="shared" si="20"/>
        <v>277731113</v>
      </c>
      <c r="L58" s="214">
        <f t="shared" si="20"/>
        <v>277731113</v>
      </c>
      <c r="M58" s="214">
        <f>M59-M62</f>
        <v>277731113</v>
      </c>
      <c r="N58" s="214">
        <f>N59-N62</f>
        <v>293907560</v>
      </c>
      <c r="O58" s="214">
        <f>O59-O62</f>
        <v>0</v>
      </c>
      <c r="P58" s="214">
        <f>P59-P62</f>
        <v>0</v>
      </c>
      <c r="Q58" s="214" t="e">
        <f t="shared" si="20"/>
        <v>#REF!</v>
      </c>
      <c r="R58" s="214">
        <f t="shared" si="20"/>
        <v>15635794</v>
      </c>
      <c r="S58" s="214">
        <f t="shared" si="20"/>
        <v>15635794</v>
      </c>
      <c r="T58" s="214">
        <f>T59-T62</f>
        <v>15635794</v>
      </c>
      <c r="U58" s="214">
        <f t="shared" si="20"/>
        <v>15635794</v>
      </c>
      <c r="V58" s="214">
        <f t="shared" si="20"/>
        <v>0</v>
      </c>
      <c r="W58" s="214">
        <f t="shared" si="20"/>
        <v>0</v>
      </c>
      <c r="X58" s="214">
        <f t="shared" si="20"/>
        <v>0</v>
      </c>
      <c r="Y58" s="214">
        <f t="shared" si="20"/>
        <v>0</v>
      </c>
      <c r="Z58" s="214">
        <f t="shared" si="20"/>
        <v>0</v>
      </c>
      <c r="AA58" s="214">
        <f t="shared" si="20"/>
        <v>0</v>
      </c>
      <c r="AB58" s="214">
        <f t="shared" si="20"/>
        <v>0</v>
      </c>
      <c r="AC58" s="214">
        <f t="shared" si="20"/>
        <v>0</v>
      </c>
      <c r="AD58" s="214">
        <f>AD59-AD62</f>
        <v>0</v>
      </c>
    </row>
    <row r="59" spans="1:30" ht="27" customHeight="1">
      <c r="A59" s="210" t="s">
        <v>156</v>
      </c>
      <c r="B59" s="1342" t="s">
        <v>430</v>
      </c>
      <c r="C59" s="1342"/>
      <c r="D59" s="1342"/>
      <c r="E59" s="215">
        <f>'1.sz.m-önk.össze.bev'!E59</f>
        <v>304279553</v>
      </c>
      <c r="F59" s="215">
        <f>'1.sz.m-önk.össze.bev'!F59</f>
        <v>304279553</v>
      </c>
      <c r="G59" s="215">
        <f>'1.sz.m-önk.össze.bev'!G59</f>
        <v>304279553</v>
      </c>
      <c r="H59" s="215">
        <f>'1.sz.m-önk.össze.bev'!H59</f>
        <v>320456000</v>
      </c>
      <c r="I59" s="215">
        <f>'1.sz.m-önk.össze.bev'!I59</f>
        <v>0</v>
      </c>
      <c r="J59" s="215">
        <f>'1.sz.m-önk.össze.bev'!J59</f>
        <v>0</v>
      </c>
      <c r="K59" s="215">
        <f>'1.sz.m-önk.össze.bev'!K59</f>
        <v>288643759</v>
      </c>
      <c r="L59" s="215">
        <f>'1.sz.m-önk.össze.bev'!L59</f>
        <v>288643759</v>
      </c>
      <c r="M59" s="215">
        <f>'1.sz.m-önk.össze.bev'!M59</f>
        <v>288643759</v>
      </c>
      <c r="N59" s="215">
        <f>'1.sz.m-önk.össze.bev'!N59</f>
        <v>304820206</v>
      </c>
      <c r="O59" s="215">
        <f>'1.sz.m-önk.össze.bev'!O59</f>
        <v>0</v>
      </c>
      <c r="P59" s="215">
        <f>'1.sz.m-önk.össze.bev'!P59</f>
        <v>0</v>
      </c>
      <c r="Q59" s="215">
        <f>'1.sz.m-önk.össze.bev'!Q59</f>
        <v>0</v>
      </c>
      <c r="R59" s="215">
        <f>'1.sz.m-önk.össze.bev'!R59</f>
        <v>15635794</v>
      </c>
      <c r="S59" s="215">
        <f>'1.sz.m-önk.össze.bev'!S59</f>
        <v>15635794</v>
      </c>
      <c r="T59" s="215">
        <f>'1.sz.m-önk.össze.bev'!T59</f>
        <v>15635794</v>
      </c>
      <c r="U59" s="215">
        <f>'1.sz.m-önk.össze.bev'!U59</f>
        <v>15635794</v>
      </c>
      <c r="V59" s="215">
        <f>'1.sz.m-önk.össze.bev'!V59</f>
        <v>0</v>
      </c>
      <c r="W59" s="215">
        <f>'1.sz.m-önk.össze.bev'!W59</f>
        <v>0</v>
      </c>
      <c r="X59" s="215">
        <f>'1.sz.m-önk.össze.bev'!X59</f>
        <v>0</v>
      </c>
      <c r="Y59" s="215">
        <f>'1.sz.m-önk.össze.bev'!Y59</f>
        <v>0</v>
      </c>
      <c r="Z59" s="215">
        <f>'1.sz.m-önk.össze.bev'!Z59</f>
        <v>0</v>
      </c>
      <c r="AA59" s="215">
        <f>'1.sz.m-önk.össze.bev'!AA59</f>
        <v>0</v>
      </c>
      <c r="AB59" s="215">
        <f>'1.sz.m-önk.össze.bev'!AB59</f>
        <v>0</v>
      </c>
      <c r="AC59" s="215">
        <f>'1.sz.m-önk.össze.bev'!AC59</f>
        <v>0</v>
      </c>
      <c r="AD59" s="215">
        <f>'1.sz.m-önk.össze.bev'!AD59</f>
        <v>0</v>
      </c>
    </row>
    <row r="60" spans="1:30" ht="27" customHeight="1">
      <c r="A60" s="210" t="s">
        <v>157</v>
      </c>
      <c r="B60" s="1322" t="s">
        <v>195</v>
      </c>
      <c r="C60" s="1322"/>
      <c r="D60" s="1322"/>
      <c r="E60" s="215">
        <f>'1.sz.m-önk.össze.bev'!E62-'2.sz.m.összehasonlító'!B28+'1.sz.m-önk.össze.bev'!E61</f>
        <v>177159235</v>
      </c>
      <c r="F60" s="215">
        <f>'1.sz.m-önk.össze.bev'!F62-'2.sz.m.összehasonlító'!C28+'1.sz.m-önk.össze.bev'!F61</f>
        <v>177159235</v>
      </c>
      <c r="G60" s="215">
        <f>'1.sz.m-önk.össze.bev'!G62-'2.sz.m.összehasonlító'!D28+'1.sz.m-önk.össze.bev'!G61</f>
        <v>177159235</v>
      </c>
      <c r="H60" s="215">
        <f>+'2.sz.m.összehasonlító'!E19</f>
        <v>193335682</v>
      </c>
      <c r="I60" s="215">
        <f>'1.sz.m-önk.össze.bev'!I62-'2.sz.m.összehasonlító'!F28</f>
        <v>-66329503</v>
      </c>
      <c r="J60" s="215">
        <f>'1.sz.m-önk.össze.bev'!J62-'2.sz.m.összehasonlító'!G28</f>
        <v>0</v>
      </c>
      <c r="K60" s="215">
        <f>+K45</f>
        <v>164105960</v>
      </c>
      <c r="L60" s="215">
        <f>'1.sz.m-önk.össze.bev'!F62-'2.sz.m.összehasonlító'!C28+'1.sz.m-önk.össze.bev'!F61</f>
        <v>177159235</v>
      </c>
      <c r="M60" s="215">
        <f>'1.sz.m-önk.össze.bev'!G62-'2.sz.m.összehasonlító'!D28+'1.sz.m-önk.össze.bev'!G61</f>
        <v>177159235</v>
      </c>
      <c r="N60" s="215">
        <f>+'2.sz.m.összehasonlító'!E19</f>
        <v>193335682</v>
      </c>
      <c r="O60" s="215">
        <f>'1.sz.m-önk.össze.bev'!I62-'2.sz.m.összehasonlító'!F28+'1.sz.m-önk.össze.bev'!I61</f>
        <v>-66329503</v>
      </c>
      <c r="P60" s="215">
        <f>'1.sz.m-önk.össze.bev'!P62</f>
        <v>0</v>
      </c>
      <c r="Q60" s="215">
        <f>'1.sz.m-önk.össze.bev'!Q62</f>
        <v>0</v>
      </c>
      <c r="R60" s="215">
        <f>+R45</f>
        <v>13053275</v>
      </c>
      <c r="S60" s="215">
        <f>'1.sz.m-önk.össze.bev'!S62</f>
        <v>15635794</v>
      </c>
      <c r="T60" s="215">
        <f>'1.sz.m-önk.össze.bev'!T62</f>
        <v>15635794</v>
      </c>
      <c r="U60" s="215">
        <f>'1.sz.m-önk.össze.bev'!U62</f>
        <v>15635794</v>
      </c>
      <c r="V60" s="215">
        <f>'1.sz.m-önk.össze.bev'!V62</f>
        <v>0</v>
      </c>
      <c r="W60" s="215">
        <f>'1.sz.m-önk.össze.bev'!W62</f>
        <v>0</v>
      </c>
      <c r="X60" s="215">
        <f>'1.sz.m-önk.össze.bev'!X62</f>
        <v>0</v>
      </c>
      <c r="Y60" s="215">
        <f>'1.sz.m-önk.össze.bev'!Y62</f>
        <v>0</v>
      </c>
      <c r="Z60" s="215">
        <f>'1.sz.m-önk.össze.bev'!Z62</f>
        <v>0</v>
      </c>
      <c r="AA60" s="215">
        <f>'1.sz.m-önk.össze.bev'!AA62</f>
        <v>0</v>
      </c>
      <c r="AB60" s="215">
        <f>'1.sz.m-önk.össze.bev'!AB62</f>
        <v>0</v>
      </c>
      <c r="AC60" s="215">
        <f>'1.sz.m-önk.össze.bev'!AC62</f>
        <v>0</v>
      </c>
      <c r="AD60" s="215">
        <f>'1.sz.m-önk.össze.bev'!AD62</f>
        <v>0</v>
      </c>
    </row>
    <row r="61" spans="1:30" ht="27" customHeight="1">
      <c r="A61" s="211" t="s">
        <v>158</v>
      </c>
      <c r="B61" s="1322" t="s">
        <v>196</v>
      </c>
      <c r="C61" s="1322"/>
      <c r="D61" s="1322"/>
      <c r="E61" s="215">
        <f>'1.sz.m-önk.össze.bev'!E60+'2.sz.m.összehasonlító'!B28</f>
        <v>127120318</v>
      </c>
      <c r="F61" s="215">
        <f>'1.sz.m-önk.össze.bev'!F60+'2.sz.m.összehasonlító'!C28</f>
        <v>127120318</v>
      </c>
      <c r="G61" s="215">
        <f>'1.sz.m-önk.össze.bev'!G60+'2.sz.m.összehasonlító'!D28</f>
        <v>127120318</v>
      </c>
      <c r="H61" s="215">
        <f>'2.sz.m.összehasonlító'!E28+'2.sz.m.összehasonlító'!E29</f>
        <v>127120318</v>
      </c>
      <c r="I61" s="215">
        <f>'1.sz.m-önk.össze.bev'!I60+'2.sz.m.összehasonlító'!F28</f>
        <v>66329503</v>
      </c>
      <c r="J61" s="215">
        <f>'1.sz.m-önk.össze.bev'!J60+'2.sz.m.összehasonlító'!G28</f>
        <v>0</v>
      </c>
      <c r="K61" s="215">
        <f>+K46</f>
        <v>124537799</v>
      </c>
      <c r="L61" s="215">
        <f>'1.sz.m-önk.össze.bev'!L60+'2.sz.m.összehasonlító'!C28</f>
        <v>127120318</v>
      </c>
      <c r="M61" s="215">
        <f>'1.sz.m-önk.össze.bev'!M60+'2.sz.m.összehasonlító'!D28</f>
        <v>127120318</v>
      </c>
      <c r="N61" s="215">
        <f>'2.sz.m.összehasonlító'!E28+'2.sz.m.összehasonlító'!E29</f>
        <v>127120318</v>
      </c>
      <c r="O61" s="215">
        <f>'1.sz.m-önk.össze.bev'!O60+'2.sz.m.összehasonlító'!F28</f>
        <v>66329503</v>
      </c>
      <c r="P61" s="215">
        <f>'1.sz.m-önk.össze.bev'!P60</f>
        <v>0</v>
      </c>
      <c r="Q61" s="215">
        <f>'1.sz.m-önk.össze.bev'!Q60</f>
        <v>0</v>
      </c>
      <c r="R61" s="215">
        <f>+R46</f>
        <v>2582519</v>
      </c>
      <c r="S61" s="215">
        <f>+S46</f>
        <v>2582519</v>
      </c>
      <c r="T61" s="215">
        <f>+T46</f>
        <v>2582519</v>
      </c>
      <c r="U61" s="215">
        <f>'1.sz.m-önk.össze.bev'!U60</f>
        <v>0</v>
      </c>
      <c r="V61" s="215">
        <f>'1.sz.m-önk.össze.bev'!V60</f>
        <v>0</v>
      </c>
      <c r="W61" s="215">
        <f>'1.sz.m-önk.össze.bev'!W60</f>
        <v>0</v>
      </c>
      <c r="X61" s="215">
        <f>'1.sz.m-önk.össze.bev'!X60</f>
        <v>0</v>
      </c>
      <c r="Y61" s="215">
        <f>'1.sz.m-önk.össze.bev'!Y60</f>
        <v>0</v>
      </c>
      <c r="Z61" s="215">
        <f>'1.sz.m-önk.össze.bev'!Z60</f>
        <v>0</v>
      </c>
      <c r="AA61" s="215">
        <f>'1.sz.m-önk.össze.bev'!AA60</f>
        <v>0</v>
      </c>
      <c r="AB61" s="215">
        <f>'1.sz.m-önk.össze.bev'!AB60</f>
        <v>0</v>
      </c>
      <c r="AC61" s="215">
        <f>'1.sz.m-önk.össze.bev'!AC60</f>
        <v>0</v>
      </c>
      <c r="AD61" s="215">
        <f>'1.sz.m-önk.össze.bev'!AD60</f>
        <v>0</v>
      </c>
    </row>
    <row r="62" spans="1:30" ht="27" customHeight="1">
      <c r="A62" s="212" t="s">
        <v>159</v>
      </c>
      <c r="B62" s="1342" t="s">
        <v>431</v>
      </c>
      <c r="C62" s="1342"/>
      <c r="D62" s="1342"/>
      <c r="E62" s="216">
        <f>E30</f>
        <v>10912646</v>
      </c>
      <c r="F62" s="216">
        <f>F30</f>
        <v>10912646</v>
      </c>
      <c r="G62" s="216">
        <f>G30</f>
        <v>10912646</v>
      </c>
      <c r="H62" s="216">
        <f>H30</f>
        <v>10912646</v>
      </c>
      <c r="I62" s="216">
        <f>I30</f>
        <v>0</v>
      </c>
      <c r="J62" s="216">
        <f aca="true" t="shared" si="21" ref="J62:AC62">J30</f>
        <v>0</v>
      </c>
      <c r="K62" s="216">
        <f t="shared" si="21"/>
        <v>10912646</v>
      </c>
      <c r="L62" s="216">
        <f t="shared" si="21"/>
        <v>10912646</v>
      </c>
      <c r="M62" s="216">
        <f>M30</f>
        <v>10912646</v>
      </c>
      <c r="N62" s="216">
        <f>N30</f>
        <v>10912646</v>
      </c>
      <c r="O62" s="216">
        <f>O30</f>
        <v>0</v>
      </c>
      <c r="P62" s="216">
        <f>P30</f>
        <v>0</v>
      </c>
      <c r="Q62" s="216" t="e">
        <f t="shared" si="21"/>
        <v>#REF!</v>
      </c>
      <c r="R62" s="216">
        <f t="shared" si="21"/>
        <v>0</v>
      </c>
      <c r="S62" s="216">
        <f t="shared" si="21"/>
        <v>0</v>
      </c>
      <c r="T62" s="216">
        <f t="shared" si="21"/>
        <v>0</v>
      </c>
      <c r="U62" s="216">
        <f t="shared" si="21"/>
        <v>0</v>
      </c>
      <c r="V62" s="216">
        <f t="shared" si="21"/>
        <v>0</v>
      </c>
      <c r="W62" s="216">
        <f t="shared" si="21"/>
        <v>0</v>
      </c>
      <c r="X62" s="216">
        <f t="shared" si="21"/>
        <v>0</v>
      </c>
      <c r="Y62" s="216">
        <f t="shared" si="21"/>
        <v>0</v>
      </c>
      <c r="Z62" s="216">
        <f t="shared" si="21"/>
        <v>0</v>
      </c>
      <c r="AA62" s="216">
        <f t="shared" si="21"/>
        <v>0</v>
      </c>
      <c r="AB62" s="216">
        <f t="shared" si="21"/>
        <v>0</v>
      </c>
      <c r="AC62" s="216">
        <f t="shared" si="21"/>
        <v>0</v>
      </c>
      <c r="AD62" s="216">
        <f>AD30</f>
        <v>0</v>
      </c>
    </row>
    <row r="63" spans="1:30" ht="27" customHeight="1">
      <c r="A63" s="210" t="s">
        <v>160</v>
      </c>
      <c r="B63" s="1322" t="s">
        <v>197</v>
      </c>
      <c r="C63" s="1322"/>
      <c r="D63" s="1322"/>
      <c r="E63" s="215">
        <f>E33+E32</f>
        <v>10912646</v>
      </c>
      <c r="F63" s="215">
        <f aca="true" t="shared" si="22" ref="F63:K63">F33+F32</f>
        <v>10912646</v>
      </c>
      <c r="G63" s="215">
        <f>G33+G32</f>
        <v>10912646</v>
      </c>
      <c r="H63" s="215">
        <f>H33+H32</f>
        <v>10912646</v>
      </c>
      <c r="I63" s="215">
        <f>I33+I32</f>
        <v>0</v>
      </c>
      <c r="J63" s="215">
        <f t="shared" si="22"/>
        <v>0</v>
      </c>
      <c r="K63" s="215">
        <f t="shared" si="22"/>
        <v>10912646</v>
      </c>
      <c r="L63" s="215">
        <f>L62</f>
        <v>10912646</v>
      </c>
      <c r="M63" s="215">
        <f>M62</f>
        <v>10912646</v>
      </c>
      <c r="N63" s="215">
        <f>N62</f>
        <v>10912646</v>
      </c>
      <c r="O63" s="215">
        <f>O62</f>
        <v>0</v>
      </c>
      <c r="P63" s="215">
        <f>P62</f>
        <v>0</v>
      </c>
      <c r="Q63" s="215">
        <v>0</v>
      </c>
      <c r="R63" s="215">
        <v>0</v>
      </c>
      <c r="S63" s="215">
        <v>0</v>
      </c>
      <c r="T63" s="215">
        <v>0</v>
      </c>
      <c r="U63" s="215">
        <v>0</v>
      </c>
      <c r="V63" s="215">
        <v>0</v>
      </c>
      <c r="W63" s="215">
        <v>0</v>
      </c>
      <c r="X63" s="215">
        <v>0</v>
      </c>
      <c r="Y63" s="215">
        <v>0</v>
      </c>
      <c r="Z63" s="215">
        <v>0</v>
      </c>
      <c r="AA63" s="215">
        <v>0</v>
      </c>
      <c r="AB63" s="215">
        <v>0</v>
      </c>
      <c r="AC63" s="215">
        <v>0</v>
      </c>
      <c r="AD63" s="215">
        <v>0</v>
      </c>
    </row>
    <row r="64" spans="1:30" ht="27" customHeight="1" thickBot="1">
      <c r="A64" s="217" t="s">
        <v>161</v>
      </c>
      <c r="B64" s="1337" t="s">
        <v>198</v>
      </c>
      <c r="C64" s="1337"/>
      <c r="D64" s="1337"/>
      <c r="E64" s="218">
        <f>E31</f>
        <v>0</v>
      </c>
      <c r="F64" s="218">
        <f aca="true" t="shared" si="23" ref="F64:P64">F31</f>
        <v>0</v>
      </c>
      <c r="G64" s="218">
        <f>G31</f>
        <v>0</v>
      </c>
      <c r="H64" s="218">
        <f>H31</f>
        <v>0</v>
      </c>
      <c r="I64" s="218">
        <f>I31</f>
        <v>0</v>
      </c>
      <c r="J64" s="218">
        <f t="shared" si="23"/>
        <v>0</v>
      </c>
      <c r="K64" s="218">
        <f t="shared" si="23"/>
        <v>0</v>
      </c>
      <c r="L64" s="218">
        <f t="shared" si="23"/>
        <v>0</v>
      </c>
      <c r="M64" s="218">
        <f>M31</f>
        <v>0</v>
      </c>
      <c r="N64" s="218">
        <f>N31</f>
        <v>0</v>
      </c>
      <c r="O64" s="218">
        <f t="shared" si="23"/>
        <v>0</v>
      </c>
      <c r="P64" s="218">
        <f t="shared" si="23"/>
        <v>0</v>
      </c>
      <c r="Q64" s="218">
        <v>0</v>
      </c>
      <c r="R64" s="218">
        <v>0</v>
      </c>
      <c r="S64" s="218">
        <v>0</v>
      </c>
      <c r="T64" s="218">
        <v>0</v>
      </c>
      <c r="U64" s="218">
        <v>0</v>
      </c>
      <c r="V64" s="218">
        <v>0</v>
      </c>
      <c r="W64" s="218">
        <v>0</v>
      </c>
      <c r="X64" s="218">
        <v>0</v>
      </c>
      <c r="Y64" s="218">
        <v>0</v>
      </c>
      <c r="Z64" s="218">
        <v>0</v>
      </c>
      <c r="AA64" s="218">
        <v>0</v>
      </c>
      <c r="AB64" s="218">
        <v>0</v>
      </c>
      <c r="AC64" s="218">
        <v>0</v>
      </c>
      <c r="AD64" s="218">
        <v>0</v>
      </c>
    </row>
  </sheetData>
  <sheetProtection/>
  <mergeCells count="40"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42" r:id="rId1"/>
  <headerFooter differentOddEven="1" alignWithMargins="0">
    <oddHeader xml:space="preserve">&amp;C&amp;"Algerian,Normál"&amp;16BELED VÁROS ÖNKORMÁNYZATA
2020. ÉVI KÖLTSÉGVETÉSÉNEK ÖSSZEVONT MÉRLEGE&amp;R&amp;"MS Sans Serif,Félkövér dőlt"1. számú melléklet 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2" manualBreakCount="2">
    <brk id="26" max="65" man="1"/>
    <brk id="28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85" zoomScaleNormal="85" workbookViewId="0" topLeftCell="A18">
      <selection activeCell="E36" sqref="E36"/>
    </sheetView>
  </sheetViews>
  <sheetFormatPr defaultColWidth="9.140625" defaultRowHeight="12.75"/>
  <cols>
    <col min="1" max="1" width="47.8515625" style="11" bestFit="1" customWidth="1"/>
    <col min="2" max="2" width="19.8515625" style="11" customWidth="1"/>
    <col min="3" max="3" width="18.57421875" style="11" customWidth="1"/>
    <col min="4" max="4" width="20.57421875" style="11" customWidth="1"/>
    <col min="5" max="5" width="19.57421875" style="11" customWidth="1"/>
    <col min="6" max="6" width="19.421875" style="11" hidden="1" customWidth="1"/>
    <col min="7" max="7" width="18.421875" style="11" hidden="1" customWidth="1"/>
    <col min="8" max="8" width="43.57421875" style="11" bestFit="1" customWidth="1"/>
    <col min="9" max="9" width="21.8515625" style="11" customWidth="1"/>
    <col min="10" max="10" width="18.28125" style="11" customWidth="1"/>
    <col min="11" max="11" width="18.421875" style="11" customWidth="1"/>
    <col min="12" max="12" width="19.28125" style="11" customWidth="1"/>
    <col min="13" max="13" width="18.421875" style="11" hidden="1" customWidth="1"/>
    <col min="14" max="14" width="19.00390625" style="11" hidden="1" customWidth="1"/>
    <col min="15" max="15" width="13.28125" style="11" customWidth="1"/>
    <col min="16" max="16384" width="9.140625" style="11" customWidth="1"/>
  </cols>
  <sheetData>
    <row r="1" spans="8:13" ht="12.75">
      <c r="H1" s="1365" t="s">
        <v>500</v>
      </c>
      <c r="I1" s="1365"/>
      <c r="J1" s="1365"/>
      <c r="K1" s="1365"/>
      <c r="L1" s="1365"/>
      <c r="M1" s="1365"/>
    </row>
    <row r="2" spans="8:13" ht="12.75">
      <c r="H2" s="1124"/>
      <c r="I2" s="1124"/>
      <c r="J2" s="1124"/>
      <c r="K2" s="1124"/>
      <c r="L2" s="1124" t="s">
        <v>650</v>
      </c>
      <c r="M2" s="1124"/>
    </row>
    <row r="3" spans="1:9" ht="18">
      <c r="A3" s="1362" t="s">
        <v>19</v>
      </c>
      <c r="B3" s="1362"/>
      <c r="C3" s="1362"/>
      <c r="D3" s="1362"/>
      <c r="E3" s="1362"/>
      <c r="F3" s="1362"/>
      <c r="G3" s="1362"/>
      <c r="H3" s="1362"/>
      <c r="I3" s="1362"/>
    </row>
    <row r="4" spans="1:9" ht="11.25" customHeight="1">
      <c r="A4" s="38"/>
      <c r="B4" s="38"/>
      <c r="C4" s="38"/>
      <c r="D4" s="38"/>
      <c r="E4" s="38"/>
      <c r="F4" s="38"/>
      <c r="G4" s="38"/>
      <c r="H4" s="38"/>
      <c r="I4" s="37" t="s">
        <v>425</v>
      </c>
    </row>
    <row r="5" spans="1:9" ht="17.25" customHeight="1" thickBot="1">
      <c r="A5" s="1363" t="s">
        <v>193</v>
      </c>
      <c r="B5" s="1364"/>
      <c r="C5" s="1364"/>
      <c r="D5" s="1364"/>
      <c r="E5" s="1364"/>
      <c r="F5" s="1364"/>
      <c r="G5" s="1364"/>
      <c r="H5" s="1363"/>
      <c r="I5" s="1364"/>
    </row>
    <row r="6" spans="1:14" ht="33" customHeight="1" thickBot="1">
      <c r="A6" s="271" t="s">
        <v>6</v>
      </c>
      <c r="B6" s="349" t="s">
        <v>217</v>
      </c>
      <c r="C6" s="350" t="s">
        <v>215</v>
      </c>
      <c r="D6" s="350" t="s">
        <v>218</v>
      </c>
      <c r="E6" s="351" t="s">
        <v>220</v>
      </c>
      <c r="F6" s="1155" t="s">
        <v>232</v>
      </c>
      <c r="G6" s="351" t="s">
        <v>237</v>
      </c>
      <c r="H6" s="314" t="s">
        <v>7</v>
      </c>
      <c r="I6" s="349" t="s">
        <v>217</v>
      </c>
      <c r="J6" s="350" t="s">
        <v>215</v>
      </c>
      <c r="K6" s="350" t="s">
        <v>218</v>
      </c>
      <c r="L6" s="351" t="s">
        <v>220</v>
      </c>
      <c r="M6" s="1155" t="s">
        <v>232</v>
      </c>
      <c r="N6" s="351" t="s">
        <v>237</v>
      </c>
    </row>
    <row r="7" spans="1:14" ht="12.75">
      <c r="A7" s="273" t="s">
        <v>314</v>
      </c>
      <c r="B7" s="352">
        <f>'3.sz.m Önk  bev.'!E8</f>
        <v>219910000</v>
      </c>
      <c r="C7" s="1175">
        <f>'3.sz.m Önk  bev.'!F8</f>
        <v>206228365</v>
      </c>
      <c r="D7" s="1175">
        <f>'3.sz.m Önk  bev.'!G8</f>
        <v>206228365</v>
      </c>
      <c r="E7" s="1176">
        <f>'3.sz.m Önk  bev.'!H8</f>
        <v>210825770</v>
      </c>
      <c r="F7" s="1156">
        <f>'3.sz.m Önk  bev.'!I8</f>
        <v>0</v>
      </c>
      <c r="G7" s="352">
        <f>'3.sz.m Önk  bev.'!J8</f>
        <v>0</v>
      </c>
      <c r="H7" s="336" t="s">
        <v>170</v>
      </c>
      <c r="I7" s="365">
        <f>'4.sz.m.ÖNK kiadás'!E8+'5.1 sz. m Köz Hiv'!D35+'5.2 sz. m ÁMK'!D38+'üres lap'!D27</f>
        <v>222688836</v>
      </c>
      <c r="J7" s="1205">
        <f>'4.sz.m.ÖNK kiadás'!F8+'5.1 sz. m Köz Hiv'!E35+'5.2 sz. m ÁMK'!E38+'üres lap'!E27</f>
        <v>222688836</v>
      </c>
      <c r="K7" s="1205">
        <f>'4.sz.m.ÖNK kiadás'!G8+'5.1 sz. m Köz Hiv'!F35+'5.2 sz. m ÁMK'!F38+'üres lap'!F27</f>
        <v>223920014</v>
      </c>
      <c r="L7" s="1206">
        <f>'4.sz.m.ÖNK kiadás'!H8+'5.1 sz. m Köz Hiv'!G35+'5.2 sz. m ÁMK'!G38+'üres lap'!G27</f>
        <v>218225799</v>
      </c>
      <c r="M7" s="1171">
        <f>'4.sz.m.ÖNK kiadás'!I8+'5.1 sz. m Köz Hiv'!H35+'5.2 sz. m ÁMK'!H38+'üres lap'!H27</f>
        <v>0</v>
      </c>
      <c r="N7" s="365">
        <f>'4.sz.m.ÖNK kiadás'!J8+'5.1 sz. m Köz Hiv'!I35+'5.2 sz. m ÁMK'!I38+'üres lap'!I27</f>
        <v>0</v>
      </c>
    </row>
    <row r="8" spans="1:14" ht="12.75">
      <c r="A8" s="274" t="s">
        <v>315</v>
      </c>
      <c r="B8" s="353">
        <f>'3.sz.m Önk  bev.'!E22+'5.1 sz. m Köz Hiv'!D9+'5.2 sz. m ÁMK'!D9</f>
        <v>74220992</v>
      </c>
      <c r="C8" s="1177">
        <f>'3.sz.m Önk  bev.'!F22+'5.1 sz. m Köz Hiv'!E9+'5.2 sz. m ÁMK'!E9</f>
        <v>62585349</v>
      </c>
      <c r="D8" s="1177">
        <f>'3.sz.m Önk  bev.'!G22+'5.1 sz. m Köz Hiv'!F9+'5.2 sz. m ÁMK'!F9</f>
        <v>58187345</v>
      </c>
      <c r="E8" s="1178">
        <f>'3.sz.m Önk  bev.'!H22+'5.1 sz. m Köz Hiv'!G9+'5.2 sz. m ÁMK'!G9</f>
        <v>50132483</v>
      </c>
      <c r="F8" s="1157">
        <f>'3.sz.m Önk  bev.'!I22+'5.1 sz. m Köz Hiv'!H9+'5.2 sz. m ÁMK'!H9</f>
        <v>0</v>
      </c>
      <c r="G8" s="353">
        <f>'3.sz.m Önk  bev.'!J22+'5.1 sz. m Köz Hiv'!I9+'5.2 sz. m ÁMK'!I9</f>
        <v>0</v>
      </c>
      <c r="H8" s="337" t="s">
        <v>171</v>
      </c>
      <c r="I8" s="353">
        <f>'4.sz.m.ÖNK kiadás'!E9+'5.1 sz. m Köz Hiv'!D36+'5.2 sz. m ÁMK'!D39+'üres lap'!D28</f>
        <v>38852584</v>
      </c>
      <c r="J8" s="1177">
        <f>'4.sz.m.ÖNK kiadás'!F9+'5.1 sz. m Köz Hiv'!E36+'5.2 sz. m ÁMK'!E39+'üres lap'!E28</f>
        <v>38852584</v>
      </c>
      <c r="K8" s="1177">
        <f>'4.sz.m.ÖNK kiadás'!G9+'5.1 sz. m Köz Hiv'!F36+'5.2 sz. m ÁMK'!F39+'üres lap'!F28</f>
        <v>38957251</v>
      </c>
      <c r="L8" s="1178">
        <f>'4.sz.m.ÖNK kiadás'!H9+'5.1 sz. m Köz Hiv'!G36+'5.2 sz. m ÁMK'!G39+'üres lap'!G28</f>
        <v>36670020</v>
      </c>
      <c r="M8" s="1157">
        <f>'4.sz.m.ÖNK kiadás'!I9+'5.1 sz. m Köz Hiv'!H36+'5.2 sz. m ÁMK'!H39+'üres lap'!H28</f>
        <v>0</v>
      </c>
      <c r="N8" s="353">
        <f>'4.sz.m.ÖNK kiadás'!J9+'5.1 sz. m Köz Hiv'!I36+'5.2 sz. m ÁMK'!I39+'üres lap'!I28</f>
        <v>0</v>
      </c>
    </row>
    <row r="9" spans="1:14" ht="25.5">
      <c r="A9" s="274" t="s">
        <v>316</v>
      </c>
      <c r="B9" s="353">
        <f>'3.sz.m Önk  bev.'!E33+'5.1 sz. m Köz Hiv'!D15+'5.2 sz. m ÁMK'!D18</f>
        <v>326093376</v>
      </c>
      <c r="C9" s="1177">
        <f>'3.sz.m Önk  bev.'!F33+'5.1 sz. m Köz Hiv'!E15+'5.2 sz. m ÁMK'!E18</f>
        <v>337958427</v>
      </c>
      <c r="D9" s="1177">
        <f>'3.sz.m Önk  bev.'!G33+'5.1 sz. m Köz Hiv'!F15+'5.2 sz. m ÁMK'!F18</f>
        <v>356929703</v>
      </c>
      <c r="E9" s="1178">
        <f>'3.sz.m Önk  bev.'!H33+'5.1 sz. m Köz Hiv'!G15+'5.2 sz. m ÁMK'!G18</f>
        <v>363160225</v>
      </c>
      <c r="F9" s="1157">
        <f>'3.sz.m Önk  bev.'!I33+'5.1 sz. m Köz Hiv'!H15+'5.2 sz. m ÁMK'!H18</f>
        <v>0</v>
      </c>
      <c r="G9" s="353">
        <f>'3.sz.m Önk  bev.'!J33+'5.1 sz. m Köz Hiv'!I15+'5.2 sz. m ÁMK'!I18</f>
        <v>0</v>
      </c>
      <c r="H9" s="337" t="s">
        <v>172</v>
      </c>
      <c r="I9" s="353">
        <f>'4.sz.m.ÖNK kiadás'!E10+'5.1 sz. m Köz Hiv'!D37+'5.2 sz. m ÁMK'!D40+'üres lap'!D29</f>
        <v>145494788</v>
      </c>
      <c r="J9" s="1177">
        <f>'4.sz.m.ÖNK kiadás'!F10+'5.1 sz. m Köz Hiv'!E37+'5.2 sz. m ÁMK'!E40+'üres lap'!E29</f>
        <v>146164688</v>
      </c>
      <c r="K9" s="1177">
        <f>'4.sz.m.ÖNK kiadás'!G10+'5.1 sz. m Köz Hiv'!F37+'5.2 sz. m ÁMK'!F40+'üres lap'!F29</f>
        <v>144823418</v>
      </c>
      <c r="L9" s="1178">
        <f>'4.sz.m.ÖNK kiadás'!H10+'5.1 sz. m Köz Hiv'!G37+'5.2 sz. m ÁMK'!G40+'üres lap'!G29</f>
        <v>265634060</v>
      </c>
      <c r="M9" s="1157">
        <f>'4.sz.m.ÖNK kiadás'!I10+'5.1 sz. m Köz Hiv'!H37+'5.2 sz. m ÁMK'!H40+'üres lap'!H29</f>
        <v>0</v>
      </c>
      <c r="N9" s="353">
        <f>'4.sz.m.ÖNK kiadás'!J10+'5.1 sz. m Köz Hiv'!I37+'5.2 sz. m ÁMK'!I40+'üres lap'!I29</f>
        <v>0</v>
      </c>
    </row>
    <row r="10" spans="1:14" ht="12.75">
      <c r="A10" s="274" t="s">
        <v>317</v>
      </c>
      <c r="B10" s="353">
        <f>'3.sz.m Önk  bev.'!E51+'5.1 sz. m Köz Hiv'!D21+'5.2 sz. m ÁMK'!D24</f>
        <v>60000</v>
      </c>
      <c r="C10" s="1177">
        <f>'3.sz.m Önk  bev.'!F51+'5.1 sz. m Köz Hiv'!E21+'5.2 sz. m ÁMK'!E24</f>
        <v>60000</v>
      </c>
      <c r="D10" s="1177">
        <f>'3.sz.m Önk  bev.'!G51+'5.1 sz. m Köz Hiv'!F21+'5.2 sz. m ÁMK'!F24</f>
        <v>60000</v>
      </c>
      <c r="E10" s="1178">
        <f>'3.sz.m Önk  bev.'!H51+'5.1 sz. m Köz Hiv'!G21+'5.2 sz. m ÁMK'!G24</f>
        <v>60000</v>
      </c>
      <c r="F10" s="1157">
        <f>'3.sz.m Önk  bev.'!I51+'5.1 sz. m Köz Hiv'!H21+'5.2 sz. m ÁMK'!H24</f>
        <v>260000</v>
      </c>
      <c r="G10" s="353">
        <f>'3.sz.m Önk  bev.'!J51+'5.1 sz. m Köz Hiv'!I21+'5.2 sz. m ÁMK'!I24</f>
        <v>0</v>
      </c>
      <c r="H10" s="337" t="s">
        <v>173</v>
      </c>
      <c r="I10" s="366">
        <f>'4.sz.m.ÖNK kiadás'!E11+'5.1 sz. m Köz Hiv'!D38+'5.2 sz. m ÁMK'!D41+'üres lap'!D30</f>
        <v>2250000</v>
      </c>
      <c r="J10" s="1207">
        <f>'4.sz.m.ÖNK kiadás'!F11+'5.1 sz. m Köz Hiv'!E38+'5.2 sz. m ÁMK'!E41+'üres lap'!E30</f>
        <v>2250000</v>
      </c>
      <c r="K10" s="1207">
        <f>'4.sz.m.ÖNK kiadás'!G11+'5.1 sz. m Köz Hiv'!F38+'5.2 sz. m ÁMK'!F41+'üres lap'!F30</f>
        <v>2250000</v>
      </c>
      <c r="L10" s="1208">
        <f>'4.sz.m.ÖNK kiadás'!H11+'5.1 sz. m Köz Hiv'!G38+'5.2 sz. m ÁMK'!G41+'üres lap'!G30</f>
        <v>2282000</v>
      </c>
      <c r="M10" s="1172">
        <f>'4.sz.m.ÖNK kiadás'!I11+'5.1 sz. m Köz Hiv'!H38+'5.2 sz. m ÁMK'!H41+'üres lap'!H30</f>
        <v>0</v>
      </c>
      <c r="N10" s="366">
        <f>'4.sz.m.ÖNK kiadás'!J11+'5.1 sz. m Köz Hiv'!I38+'5.2 sz. m ÁMK'!I41+'üres lap'!I30</f>
        <v>0</v>
      </c>
    </row>
    <row r="11" spans="1:15" ht="12.75">
      <c r="A11" s="274"/>
      <c r="B11" s="353"/>
      <c r="C11" s="1177"/>
      <c r="D11" s="1177"/>
      <c r="E11" s="1178"/>
      <c r="F11" s="1157"/>
      <c r="G11" s="353"/>
      <c r="H11" s="338" t="s">
        <v>174</v>
      </c>
      <c r="I11" s="353">
        <f>'4.sz.m.ÖNK kiadás'!E12+'5.1 sz. m Köz Hiv'!D39+'5.2 sz. m ÁMK'!D42+'üres lap'!D31</f>
        <v>151539652</v>
      </c>
      <c r="J11" s="1177">
        <f>'4.sz.m.ÖNK kiadás'!F12+'5.1 sz. m Köz Hiv'!E39+'5.2 sz. m ÁMK'!E42+'üres lap'!E31</f>
        <v>159273710</v>
      </c>
      <c r="K11" s="1177">
        <f>'4.sz.m.ÖNK kiadás'!G12+'5.1 sz. m Köz Hiv'!F39+'5.2 sz. m ÁMK'!F42+'üres lap'!F31</f>
        <v>156300190</v>
      </c>
      <c r="L11" s="1178">
        <f>'4.sz.m.ÖNK kiadás'!H12+'5.1 sz. m Köz Hiv'!G39+'5.2 sz. m ÁMK'!G42+'üres lap'!G31</f>
        <v>156659655</v>
      </c>
      <c r="M11" s="1157">
        <f>'4.sz.m.ÖNK kiadás'!I12+'5.1 sz. m Köz Hiv'!H39+'5.2 sz. m ÁMK'!H42+'üres lap'!H31</f>
        <v>0</v>
      </c>
      <c r="N11" s="353">
        <f>'4.sz.m.ÖNK kiadás'!J12+'5.1 sz. m Köz Hiv'!I39+'5.2 sz. m ÁMK'!I42+'üres lap'!I31</f>
        <v>0</v>
      </c>
      <c r="O11" s="18"/>
    </row>
    <row r="12" spans="1:14" ht="12.75">
      <c r="A12" s="274"/>
      <c r="B12" s="353"/>
      <c r="C12" s="1177"/>
      <c r="D12" s="1177"/>
      <c r="E12" s="1178"/>
      <c r="F12" s="1157"/>
      <c r="G12" s="353"/>
      <c r="H12" s="337" t="s">
        <v>175</v>
      </c>
      <c r="I12" s="366">
        <f>'4.sz.m.ÖNK kiadás'!E26</f>
        <v>88768165</v>
      </c>
      <c r="J12" s="1207">
        <f>'4.sz.m.ÖNK kiadás'!F26</f>
        <v>80172407</v>
      </c>
      <c r="K12" s="1207">
        <f>'4.sz.m.ÖNK kiadás'!G26</f>
        <v>95182276</v>
      </c>
      <c r="L12" s="1208">
        <f>'4.sz.m.ÖNK kiadás'!H26</f>
        <v>0</v>
      </c>
      <c r="M12" s="1172">
        <f>'4.sz.m.ÖNK kiadás'!I26</f>
        <v>57410165</v>
      </c>
      <c r="N12" s="366">
        <f>'4.sz.m.ÖNK kiadás'!J26</f>
        <v>0</v>
      </c>
    </row>
    <row r="13" spans="1:14" ht="12.75" hidden="1">
      <c r="A13" s="275"/>
      <c r="B13" s="354"/>
      <c r="C13" s="1179"/>
      <c r="D13" s="1179"/>
      <c r="E13" s="1180"/>
      <c r="F13" s="1158"/>
      <c r="G13" s="354"/>
      <c r="H13" s="339"/>
      <c r="I13" s="354"/>
      <c r="J13" s="1179"/>
      <c r="K13" s="1179"/>
      <c r="L13" s="1180"/>
      <c r="M13" s="1158"/>
      <c r="N13" s="354"/>
    </row>
    <row r="14" spans="1:14" ht="16.5" customHeight="1" hidden="1" thickBot="1">
      <c r="A14" s="276"/>
      <c r="B14" s="355"/>
      <c r="C14" s="1181"/>
      <c r="D14" s="1181"/>
      <c r="E14" s="1182"/>
      <c r="F14" s="1159"/>
      <c r="G14" s="355"/>
      <c r="H14" s="340"/>
      <c r="I14" s="355"/>
      <c r="J14" s="1181"/>
      <c r="K14" s="1181"/>
      <c r="L14" s="1182"/>
      <c r="M14" s="1159"/>
      <c r="N14" s="355"/>
    </row>
    <row r="15" spans="1:14" ht="24" customHeight="1" thickBot="1">
      <c r="A15" s="277" t="s">
        <v>177</v>
      </c>
      <c r="B15" s="356">
        <f aca="true" t="shared" si="0" ref="B15:G15">SUM(B7:B10)</f>
        <v>620284368</v>
      </c>
      <c r="C15" s="1183">
        <f>SUM(C7:C10)</f>
        <v>606832141</v>
      </c>
      <c r="D15" s="1183">
        <f>SUM(D7:D10)</f>
        <v>621405413</v>
      </c>
      <c r="E15" s="1184">
        <f>SUM(E7:E10)</f>
        <v>624178478</v>
      </c>
      <c r="F15" s="1160">
        <f t="shared" si="0"/>
        <v>260000</v>
      </c>
      <c r="G15" s="356">
        <f t="shared" si="0"/>
        <v>0</v>
      </c>
      <c r="H15" s="532" t="s">
        <v>178</v>
      </c>
      <c r="I15" s="356">
        <f aca="true" t="shared" si="1" ref="I15:N15">SUM(I7:I14)</f>
        <v>649594025</v>
      </c>
      <c r="J15" s="1183">
        <f>SUM(J7:J14)</f>
        <v>649402225</v>
      </c>
      <c r="K15" s="1183">
        <f>SUM(K7:K14)</f>
        <v>661433149</v>
      </c>
      <c r="L15" s="1184">
        <f>SUM(L7:L14)</f>
        <v>679471534</v>
      </c>
      <c r="M15" s="1160">
        <f t="shared" si="1"/>
        <v>57410165</v>
      </c>
      <c r="N15" s="356">
        <f t="shared" si="1"/>
        <v>0</v>
      </c>
    </row>
    <row r="16" spans="1:14" ht="18.75" customHeight="1">
      <c r="A16" s="278" t="s">
        <v>429</v>
      </c>
      <c r="B16" s="272">
        <f>'3.sz.m Önk  bev.'!E60+'5.1 sz. m Köz Hiv'!D26+'5.2 sz. m ÁMK'!D29-B28</f>
        <v>177159235</v>
      </c>
      <c r="C16" s="1185">
        <f>'3.sz.m Önk  bev.'!F60+'5.1 sz. m Köz Hiv'!E26+'5.2 sz. m ÁMK'!E29-C28</f>
        <v>177159235</v>
      </c>
      <c r="D16" s="1185">
        <f>'3.sz.m Önk  bev.'!G60+'5.1 sz. m Köz Hiv'!F26+'5.2 sz. m ÁMK'!F29-D28</f>
        <v>177159235</v>
      </c>
      <c r="E16" s="1186">
        <f>'3.sz.m Önk  bev.'!H60+'5.1 sz. m Köz Hiv'!G26+'5.2 sz. m ÁMK'!G29-E28</f>
        <v>179336447</v>
      </c>
      <c r="F16" s="1161">
        <f>'3.sz.m Önk  bev.'!I60+'5.1 sz. m Köz Hiv'!H26+'5.2 sz. m ÁMK'!H29-F28</f>
        <v>-66329503</v>
      </c>
      <c r="G16" s="272">
        <f>'3.sz.m Önk  bev.'!J60+'5.1 sz. m Köz Hiv'!I26+'5.2 sz. m ÁMK'!I29-G28</f>
        <v>0</v>
      </c>
      <c r="H16" s="336" t="s">
        <v>435</v>
      </c>
      <c r="I16" s="352">
        <f>'4.sz.m.ÖNK kiadás'!E35</f>
        <v>0</v>
      </c>
      <c r="J16" s="1175">
        <f>'4.sz.m.ÖNK kiadás'!F35</f>
        <v>0</v>
      </c>
      <c r="K16" s="1175">
        <f>'4.sz.m.ÖNK kiadás'!G35</f>
        <v>0</v>
      </c>
      <c r="L16" s="1176">
        <f>'4.sz.m.ÖNK kiadás'!H35</f>
        <v>0</v>
      </c>
      <c r="M16" s="1156">
        <f>'4.sz.m.ÖNK kiadás'!I35</f>
        <v>0</v>
      </c>
      <c r="N16" s="352">
        <f>'4.sz.m.ÖNK kiadás'!J35</f>
        <v>0</v>
      </c>
    </row>
    <row r="17" spans="1:14" ht="18.75" customHeight="1">
      <c r="A17" s="278" t="s">
        <v>477</v>
      </c>
      <c r="B17" s="361">
        <f>'3.sz.m Önk  bev.'!E59</f>
        <v>0</v>
      </c>
      <c r="C17" s="1187">
        <f>'3.sz.m Önk  bev.'!F59</f>
        <v>0</v>
      </c>
      <c r="D17" s="1187">
        <f>'3.sz.m Önk  bev.'!G59</f>
        <v>0</v>
      </c>
      <c r="E17" s="1188">
        <f>'3.sz.m Önk  bev.'!H59</f>
        <v>0</v>
      </c>
      <c r="F17" s="1162">
        <f>'3.sz.m Önk  bev.'!I59</f>
        <v>0</v>
      </c>
      <c r="G17" s="864">
        <f>'3.sz.m Önk  bev.'!J59</f>
        <v>0</v>
      </c>
      <c r="H17" s="339" t="s">
        <v>410</v>
      </c>
      <c r="I17" s="354">
        <f>'4.sz.m.ÖNK kiadás'!E37</f>
        <v>10912646</v>
      </c>
      <c r="J17" s="1179">
        <f>'4.sz.m.ÖNK kiadás'!F37</f>
        <v>10912646</v>
      </c>
      <c r="K17" s="1179">
        <f>'4.sz.m.ÖNK kiadás'!G37</f>
        <v>10912646</v>
      </c>
      <c r="L17" s="1180">
        <f>'4.sz.m.ÖNK kiadás'!H37</f>
        <v>10912646</v>
      </c>
      <c r="M17" s="1158">
        <f>'4.sz.m.ÖNK kiadás'!I37</f>
        <v>0</v>
      </c>
      <c r="N17" s="354">
        <f>'4.sz.m.ÖNK kiadás'!J37</f>
        <v>0</v>
      </c>
    </row>
    <row r="18" spans="1:14" ht="15" customHeight="1" thickBot="1">
      <c r="A18" s="279" t="s">
        <v>422</v>
      </c>
      <c r="B18" s="357"/>
      <c r="C18" s="1189"/>
      <c r="D18" s="1189"/>
      <c r="E18" s="1190">
        <f>'3.sz.m Önk  bev.'!H58</f>
        <v>13999235</v>
      </c>
      <c r="F18" s="1163"/>
      <c r="G18" s="357">
        <f>'3.sz.m Önk  bev.'!J58</f>
        <v>0</v>
      </c>
      <c r="H18" s="339"/>
      <c r="I18" s="354"/>
      <c r="J18" s="1179"/>
      <c r="K18" s="1179"/>
      <c r="L18" s="1180"/>
      <c r="M18" s="1158"/>
      <c r="N18" s="354"/>
    </row>
    <row r="19" spans="1:14" ht="25.5" customHeight="1" thickBot="1">
      <c r="A19" s="280" t="s">
        <v>182</v>
      </c>
      <c r="B19" s="358">
        <f aca="true" t="shared" si="2" ref="B19:G19">SUM(B16:B18)</f>
        <v>177159235</v>
      </c>
      <c r="C19" s="1191">
        <f>SUM(C16:C18)</f>
        <v>177159235</v>
      </c>
      <c r="D19" s="1191">
        <f>SUM(D16:D18)</f>
        <v>177159235</v>
      </c>
      <c r="E19" s="1192">
        <f>SUM(E16:E18)</f>
        <v>193335682</v>
      </c>
      <c r="F19" s="1164">
        <f t="shared" si="2"/>
        <v>-66329503</v>
      </c>
      <c r="G19" s="358">
        <f t="shared" si="2"/>
        <v>0</v>
      </c>
      <c r="H19" s="341" t="s">
        <v>189</v>
      </c>
      <c r="I19" s="358">
        <f aca="true" t="shared" si="3" ref="I19:N19">SUM(I16:I18)</f>
        <v>10912646</v>
      </c>
      <c r="J19" s="1191">
        <f>SUM(J16:J18)</f>
        <v>10912646</v>
      </c>
      <c r="K19" s="1191">
        <f>SUM(K16:K18)</f>
        <v>10912646</v>
      </c>
      <c r="L19" s="1192">
        <f>SUM(L16:L18)</f>
        <v>10912646</v>
      </c>
      <c r="M19" s="1164">
        <f t="shared" si="3"/>
        <v>0</v>
      </c>
      <c r="N19" s="358">
        <f t="shared" si="3"/>
        <v>0</v>
      </c>
    </row>
    <row r="20" spans="1:14" ht="22.5" customHeight="1" thickBot="1">
      <c r="A20" s="281" t="s">
        <v>163</v>
      </c>
      <c r="B20" s="359">
        <f aca="true" t="shared" si="4" ref="B20:G20">B15+B19</f>
        <v>797443603</v>
      </c>
      <c r="C20" s="1193">
        <f>C15+C19</f>
        <v>783991376</v>
      </c>
      <c r="D20" s="1193">
        <f>D15+D19</f>
        <v>798564648</v>
      </c>
      <c r="E20" s="1194">
        <f>E15+E19</f>
        <v>817514160</v>
      </c>
      <c r="F20" s="1165">
        <f t="shared" si="4"/>
        <v>-66069503</v>
      </c>
      <c r="G20" s="359">
        <f t="shared" si="4"/>
        <v>0</v>
      </c>
      <c r="H20" s="342" t="s">
        <v>164</v>
      </c>
      <c r="I20" s="359">
        <f aca="true" t="shared" si="5" ref="I20:N20">I15+I19</f>
        <v>660506671</v>
      </c>
      <c r="J20" s="1193">
        <f>J15+J19</f>
        <v>660314871</v>
      </c>
      <c r="K20" s="1193">
        <f>K15+K19</f>
        <v>672345795</v>
      </c>
      <c r="L20" s="1194">
        <f>L15+L19</f>
        <v>690384180</v>
      </c>
      <c r="M20" s="1165">
        <f t="shared" si="5"/>
        <v>57410165</v>
      </c>
      <c r="N20" s="359">
        <f t="shared" si="5"/>
        <v>0</v>
      </c>
    </row>
    <row r="21" spans="1:11" ht="22.5" customHeight="1" thickBot="1">
      <c r="A21" s="1363" t="s">
        <v>194</v>
      </c>
      <c r="B21" s="1364"/>
      <c r="C21" s="1364"/>
      <c r="D21" s="1364"/>
      <c r="E21" s="1364"/>
      <c r="F21" s="1364"/>
      <c r="G21" s="1364"/>
      <c r="H21" s="1363"/>
      <c r="I21" s="1364"/>
      <c r="J21" s="18"/>
      <c r="K21" s="18"/>
    </row>
    <row r="22" spans="1:16" ht="25.5">
      <c r="A22" s="273" t="s">
        <v>165</v>
      </c>
      <c r="B22" s="360">
        <f>'3.sz.m Önk  bev.'!E42</f>
        <v>1074492</v>
      </c>
      <c r="C22" s="1195">
        <f>'3.sz.m Önk  bev.'!F42</f>
        <v>1074492</v>
      </c>
      <c r="D22" s="1195">
        <f>'3.sz.m Önk  bev.'!G42</f>
        <v>8516873</v>
      </c>
      <c r="E22" s="1196">
        <f>'3.sz.m Önk  bev.'!H42</f>
        <v>46404339</v>
      </c>
      <c r="F22" s="1166">
        <f>'3.sz.m Önk  bev.'!I42+'5.1 sz. m Köz Hiv'!H18+'5.2 sz. m ÁMK'!H21</f>
        <v>164800474</v>
      </c>
      <c r="G22" s="360">
        <f>'3.sz.m Önk  bev.'!J42+'5.1 sz. m Köz Hiv'!I18+'5.2 sz. m ÁMK'!I21</f>
        <v>0</v>
      </c>
      <c r="H22" s="343" t="s">
        <v>167</v>
      </c>
      <c r="I22" s="365">
        <f>'4.sz.m.ÖNK kiadás'!E19+'5.1 sz. m Köz Hiv'!D41+'5.2 sz. m ÁMK'!D44</f>
        <v>63700312</v>
      </c>
      <c r="J22" s="1205">
        <f>'4.sz.m.ÖNK kiadás'!F19+'5.1 sz. m Köz Hiv'!E41+'5.2 sz. m ÁMK'!E44</f>
        <v>61481836</v>
      </c>
      <c r="K22" s="1205">
        <f>'4.sz.m.ÖNK kiadás'!G19+'5.1 sz. m Köz Hiv'!F41+'5.2 sz. m ÁMK'!F44</f>
        <v>68924217</v>
      </c>
      <c r="L22" s="1206">
        <f>'4.sz.m.ÖNK kiadás'!H19+'5.1 sz. m Köz Hiv'!G41+'5.2 sz. m ÁMK'!G44</f>
        <v>80216757</v>
      </c>
      <c r="M22" s="1171">
        <f>'4.sz.m.ÖNK kiadás'!I19+'5.1 sz. m Köz Hiv'!H41+'5.2 sz. m ÁMK'!H44</f>
        <v>0</v>
      </c>
      <c r="N22" s="365">
        <f>'4.sz.m.ÖNK kiadás'!J19+'5.1 sz. m Köz Hiv'!I41+'5.2 sz. m ÁMK'!I44</f>
        <v>0</v>
      </c>
      <c r="O22" s="18"/>
      <c r="P22" s="18"/>
    </row>
    <row r="23" spans="1:15" ht="25.5">
      <c r="A23" s="274" t="s">
        <v>437</v>
      </c>
      <c r="B23" s="353">
        <f>+'3.sz.m Önk  bev.'!E52</f>
        <v>300000</v>
      </c>
      <c r="C23" s="1177">
        <f>+'3.sz.m Önk  bev.'!F52</f>
        <v>300000</v>
      </c>
      <c r="D23" s="1177">
        <f>+'3.sz.m Önk  bev.'!G52</f>
        <v>300000</v>
      </c>
      <c r="E23" s="1178">
        <f>+'3.sz.m Önk  bev.'!H52</f>
        <v>300000</v>
      </c>
      <c r="F23" s="1157">
        <f>'3.sz.m Önk  bev.'!I52</f>
        <v>200000</v>
      </c>
      <c r="G23" s="353">
        <f>'3.sz.m Önk  bev.'!J52</f>
        <v>0</v>
      </c>
      <c r="H23" s="337" t="s">
        <v>168</v>
      </c>
      <c r="I23" s="353">
        <f>'4.sz.m.ÖNK kiadás'!E20</f>
        <v>196331430</v>
      </c>
      <c r="J23" s="1177">
        <f>'4.sz.m.ÖNK kiadás'!F20</f>
        <v>185289479</v>
      </c>
      <c r="K23" s="1177">
        <f>'4.sz.m.ÖNK kiadás'!G20</f>
        <v>187831827</v>
      </c>
      <c r="L23" s="1178">
        <f>'4.sz.m.ÖNK kiadás'!H20</f>
        <v>215932180</v>
      </c>
      <c r="M23" s="1157">
        <f>'4.sz.m.ÖNK kiadás'!I20+'5.2 sz. m ÁMK'!H46</f>
        <v>0</v>
      </c>
      <c r="N23" s="353">
        <f>'4.sz.m.ÖNK kiadás'!J20+'5.2 sz. m ÁMK'!I46</f>
        <v>0</v>
      </c>
      <c r="O23" s="18"/>
    </row>
    <row r="24" spans="1:14" ht="12.75">
      <c r="A24" s="274" t="s">
        <v>166</v>
      </c>
      <c r="B24" s="353">
        <f>'3.sz.m Önk  bev.'!E54</f>
        <v>600000</v>
      </c>
      <c r="C24" s="1177">
        <f>'3.sz.m Önk  bev.'!F54</f>
        <v>600000</v>
      </c>
      <c r="D24" s="1177">
        <f>'3.sz.m Önk  bev.'!G54</f>
        <v>600000</v>
      </c>
      <c r="E24" s="1178">
        <f>'3.sz.m Önk  bev.'!H54</f>
        <v>1264300</v>
      </c>
      <c r="F24" s="1157">
        <f>'3.sz.m Önk  bev.'!I53</f>
        <v>0</v>
      </c>
      <c r="G24" s="353">
        <f>'3.sz.m Önk  bev.'!J53</f>
        <v>0</v>
      </c>
      <c r="H24" s="337" t="s">
        <v>169</v>
      </c>
      <c r="I24" s="353">
        <f>'4.sz.m.ÖNK kiadás'!E21</f>
        <v>6000000</v>
      </c>
      <c r="J24" s="1177">
        <f>'4.sz.m.ÖNK kiadás'!F21</f>
        <v>6000000</v>
      </c>
      <c r="K24" s="1177">
        <f>'4.sz.m.ÖNK kiadás'!G21</f>
        <v>6000000</v>
      </c>
      <c r="L24" s="1178">
        <f>'4.sz.m.ÖNK kiadás'!H21</f>
        <v>6070000</v>
      </c>
      <c r="M24" s="1157">
        <f>'4.sz.m.ÖNK kiadás'!I21</f>
        <v>0</v>
      </c>
      <c r="N24" s="353">
        <f>'4.sz.m.ÖNK kiadás'!J21</f>
        <v>0</v>
      </c>
    </row>
    <row r="25" spans="1:15" ht="13.5" thickBot="1">
      <c r="A25" s="274"/>
      <c r="B25" s="353"/>
      <c r="C25" s="1177"/>
      <c r="D25" s="1177"/>
      <c r="E25" s="1178"/>
      <c r="F25" s="1157"/>
      <c r="G25" s="353"/>
      <c r="H25" s="337" t="s">
        <v>176</v>
      </c>
      <c r="I25" s="353"/>
      <c r="J25" s="1177"/>
      <c r="K25" s="1177"/>
      <c r="L25" s="1178"/>
      <c r="M25" s="1157"/>
      <c r="N25" s="353"/>
      <c r="O25" s="18"/>
    </row>
    <row r="26" spans="1:14" ht="13.5" hidden="1" thickBot="1">
      <c r="A26" s="283"/>
      <c r="B26" s="354"/>
      <c r="C26" s="1179"/>
      <c r="D26" s="1179"/>
      <c r="E26" s="1180"/>
      <c r="F26" s="1158"/>
      <c r="G26" s="354"/>
      <c r="H26" s="339"/>
      <c r="I26" s="354"/>
      <c r="J26" s="1179"/>
      <c r="K26" s="1179"/>
      <c r="L26" s="1180"/>
      <c r="M26" s="1158"/>
      <c r="N26" s="354"/>
    </row>
    <row r="27" spans="1:14" ht="13.5" thickBot="1">
      <c r="A27" s="284" t="s">
        <v>180</v>
      </c>
      <c r="B27" s="359">
        <f aca="true" t="shared" si="6" ref="B27:G27">SUM(B22:B25)</f>
        <v>1974492</v>
      </c>
      <c r="C27" s="1193">
        <f>SUM(C22:C25)</f>
        <v>1974492</v>
      </c>
      <c r="D27" s="1193">
        <f>SUM(D22:D25)</f>
        <v>9416873</v>
      </c>
      <c r="E27" s="1194">
        <f>SUM(E22:E25)</f>
        <v>47968639</v>
      </c>
      <c r="F27" s="1165">
        <f t="shared" si="6"/>
        <v>165000474</v>
      </c>
      <c r="G27" s="359">
        <f t="shared" si="6"/>
        <v>0</v>
      </c>
      <c r="H27" s="344" t="s">
        <v>179</v>
      </c>
      <c r="I27" s="367">
        <f aca="true" t="shared" si="7" ref="I27:N27">SUM(I22:I26)</f>
        <v>266031742</v>
      </c>
      <c r="J27" s="1209">
        <f>SUM(J22:J26)</f>
        <v>252771315</v>
      </c>
      <c r="K27" s="1209">
        <f>SUM(K22:K26)</f>
        <v>262756044</v>
      </c>
      <c r="L27" s="1210">
        <f>SUM(L22:L26)</f>
        <v>302218937</v>
      </c>
      <c r="M27" s="1173">
        <f t="shared" si="7"/>
        <v>0</v>
      </c>
      <c r="N27" s="367">
        <f t="shared" si="7"/>
        <v>0</v>
      </c>
    </row>
    <row r="28" spans="1:14" ht="15" customHeight="1">
      <c r="A28" s="278" t="s">
        <v>429</v>
      </c>
      <c r="B28" s="1090">
        <f>+'6.a.sz.m.fejlesztés (4)'!L29+'6.a.sz.m.fejlesztés (4)'!L30+'6.a.sz.m.fejlesztés (4)'!L31+'6.a.sz.m.fejlesztés (4)'!L10+'6.a.sz.m.fejlesztés (4)'!L33+'6.a.sz.m.fejlesztés (4)'!L9</f>
        <v>127120318</v>
      </c>
      <c r="C28" s="1197">
        <f>+'6.a.sz.m.fejlesztés (4)'!M29+'6.a.sz.m.fejlesztés (4)'!M30+'6.a.sz.m.fejlesztés (4)'!M31+'6.a.sz.m.fejlesztés (4)'!M10+'6.a.sz.m.fejlesztés (4)'!M33+'6.a.sz.m.fejlesztés (4)'!M9</f>
        <v>127120318</v>
      </c>
      <c r="D28" s="1197">
        <v>127120318</v>
      </c>
      <c r="E28" s="1198">
        <v>127120318</v>
      </c>
      <c r="F28" s="1167">
        <f>10090000+8316000+2061005+36229733+9632765</f>
        <v>66329503</v>
      </c>
      <c r="G28" s="361"/>
      <c r="H28" s="345" t="s">
        <v>181</v>
      </c>
      <c r="I28" s="352">
        <f>'4.sz.m.ÖNK kiadás'!E34</f>
        <v>0</v>
      </c>
      <c r="J28" s="1175">
        <f>'4.sz.m.ÖNK kiadás'!F34</f>
        <v>0</v>
      </c>
      <c r="K28" s="1175">
        <f>'4.sz.m.ÖNK kiadás'!G34</f>
        <v>0</v>
      </c>
      <c r="L28" s="1176">
        <f>'4.sz.m.ÖNK kiadás'!H34</f>
        <v>0</v>
      </c>
      <c r="M28" s="1156">
        <f>'4.sz.m.ÖNK kiadás'!I34</f>
        <v>0</v>
      </c>
      <c r="N28" s="352">
        <f>'4.sz.m.ÖNK kiadás'!J34</f>
        <v>0</v>
      </c>
    </row>
    <row r="29" spans="1:14" ht="13.5" thickBot="1">
      <c r="A29" s="279" t="s">
        <v>162</v>
      </c>
      <c r="B29" s="362">
        <f>'3.sz.m Önk  bev.'!E58</f>
        <v>0</v>
      </c>
      <c r="C29" s="1199">
        <f>'3.sz.m Önk  bev.'!F58</f>
        <v>0</v>
      </c>
      <c r="D29" s="1199">
        <f>'3.sz.m Önk  bev.'!G58</f>
        <v>0</v>
      </c>
      <c r="E29" s="1200"/>
      <c r="F29" s="1168">
        <f>'3.sz.m Önk  bev.'!I58</f>
        <v>0</v>
      </c>
      <c r="G29" s="362"/>
      <c r="H29" s="346" t="s">
        <v>434</v>
      </c>
      <c r="I29" s="354"/>
      <c r="J29" s="1179"/>
      <c r="K29" s="1179"/>
      <c r="L29" s="1180"/>
      <c r="M29" s="1158"/>
      <c r="N29" s="354"/>
    </row>
    <row r="30" spans="1:15" ht="25.5" customHeight="1" thickBot="1">
      <c r="A30" s="285" t="s">
        <v>183</v>
      </c>
      <c r="B30" s="358">
        <f aca="true" t="shared" si="8" ref="B30:G30">SUM(B28:B29)</f>
        <v>127120318</v>
      </c>
      <c r="C30" s="1191">
        <f>SUM(C28:C29)</f>
        <v>127120318</v>
      </c>
      <c r="D30" s="1191">
        <f>SUM(D28:D29)</f>
        <v>127120318</v>
      </c>
      <c r="E30" s="1192">
        <f>SUM(E28:E29)</f>
        <v>127120318</v>
      </c>
      <c r="F30" s="1164">
        <f t="shared" si="8"/>
        <v>66329503</v>
      </c>
      <c r="G30" s="358">
        <f t="shared" si="8"/>
        <v>0</v>
      </c>
      <c r="H30" s="344" t="s">
        <v>184</v>
      </c>
      <c r="I30" s="359">
        <f aca="true" t="shared" si="9" ref="I30:N30">SUM(I28:I29)</f>
        <v>0</v>
      </c>
      <c r="J30" s="1193">
        <f>SUM(J28:J29)</f>
        <v>0</v>
      </c>
      <c r="K30" s="1193">
        <f>SUM(K28:K29)</f>
        <v>0</v>
      </c>
      <c r="L30" s="1194">
        <f>SUM(L28:L29)</f>
        <v>0</v>
      </c>
      <c r="M30" s="1165">
        <f t="shared" si="9"/>
        <v>0</v>
      </c>
      <c r="N30" s="359">
        <f t="shared" si="9"/>
        <v>0</v>
      </c>
      <c r="O30" s="18"/>
    </row>
    <row r="31" spans="1:15" ht="26.25" customHeight="1" thickBot="1">
      <c r="A31" s="282" t="s">
        <v>185</v>
      </c>
      <c r="B31" s="359">
        <f aca="true" t="shared" si="10" ref="B31:G31">B27+B30</f>
        <v>129094810</v>
      </c>
      <c r="C31" s="1193">
        <f>C27+C30</f>
        <v>129094810</v>
      </c>
      <c r="D31" s="1193">
        <f>D27+D30</f>
        <v>136537191</v>
      </c>
      <c r="E31" s="1194">
        <f>E27+E30</f>
        <v>175088957</v>
      </c>
      <c r="F31" s="1165">
        <f t="shared" si="10"/>
        <v>231329977</v>
      </c>
      <c r="G31" s="359">
        <f t="shared" si="10"/>
        <v>0</v>
      </c>
      <c r="H31" s="347" t="s">
        <v>186</v>
      </c>
      <c r="I31" s="359">
        <f aca="true" t="shared" si="11" ref="I31:N31">I30+I27</f>
        <v>266031742</v>
      </c>
      <c r="J31" s="1193">
        <f>J30+J27</f>
        <v>252771315</v>
      </c>
      <c r="K31" s="1193">
        <f>K30+K27</f>
        <v>262756044</v>
      </c>
      <c r="L31" s="1194">
        <f>L30+L27</f>
        <v>302218937</v>
      </c>
      <c r="M31" s="1165">
        <f t="shared" si="11"/>
        <v>0</v>
      </c>
      <c r="N31" s="359">
        <f t="shared" si="11"/>
        <v>0</v>
      </c>
      <c r="O31" s="18"/>
    </row>
    <row r="32" spans="1:14" ht="26.25" customHeight="1" hidden="1" thickBot="1">
      <c r="A32" s="282" t="s">
        <v>227</v>
      </c>
      <c r="B32" s="363"/>
      <c r="C32" s="1201"/>
      <c r="D32" s="1201"/>
      <c r="E32" s="1202"/>
      <c r="F32" s="1169"/>
      <c r="G32" s="363"/>
      <c r="H32" s="347" t="s">
        <v>226</v>
      </c>
      <c r="I32" s="359"/>
      <c r="J32" s="1193"/>
      <c r="K32" s="1193"/>
      <c r="L32" s="1194"/>
      <c r="M32" s="1165"/>
      <c r="N32" s="359"/>
    </row>
    <row r="33" spans="1:14" ht="29.25" customHeight="1" thickBot="1">
      <c r="A33" s="286" t="s">
        <v>187</v>
      </c>
      <c r="B33" s="364">
        <f aca="true" t="shared" si="12" ref="B33:G33">B20+B31</f>
        <v>926538413</v>
      </c>
      <c r="C33" s="1203">
        <f>C20+C31</f>
        <v>913086186</v>
      </c>
      <c r="D33" s="1203">
        <f>D20+D31</f>
        <v>935101839</v>
      </c>
      <c r="E33" s="1204">
        <f>E20+E31</f>
        <v>992603117</v>
      </c>
      <c r="F33" s="1170">
        <f t="shared" si="12"/>
        <v>165260474</v>
      </c>
      <c r="G33" s="364">
        <f t="shared" si="12"/>
        <v>0</v>
      </c>
      <c r="H33" s="348" t="s">
        <v>188</v>
      </c>
      <c r="I33" s="368">
        <f aca="true" t="shared" si="13" ref="I33:N33">I31+I20</f>
        <v>926538413</v>
      </c>
      <c r="J33" s="1211">
        <f>J31+J20</f>
        <v>913086186</v>
      </c>
      <c r="K33" s="1211">
        <f>K31+K20</f>
        <v>935101839</v>
      </c>
      <c r="L33" s="1212">
        <f>L31+L20</f>
        <v>992603117</v>
      </c>
      <c r="M33" s="1174">
        <f t="shared" si="13"/>
        <v>57410165</v>
      </c>
      <c r="N33" s="368">
        <f t="shared" si="13"/>
        <v>0</v>
      </c>
    </row>
    <row r="35" spans="2:12" ht="12.75">
      <c r="B35" s="18"/>
      <c r="C35" s="18"/>
      <c r="D35" s="18"/>
      <c r="E35" s="18"/>
      <c r="F35" s="18"/>
      <c r="G35" s="18"/>
      <c r="I35" s="18"/>
      <c r="K35" s="18"/>
      <c r="L35" s="18"/>
    </row>
    <row r="36" spans="2:14" ht="12.75">
      <c r="B36" s="18"/>
      <c r="C36" s="18"/>
      <c r="E36" s="18"/>
      <c r="F36" s="18"/>
      <c r="L36" s="18"/>
      <c r="M36" s="18"/>
      <c r="N36" s="18"/>
    </row>
    <row r="37" spans="3:9" ht="12.75">
      <c r="C37" s="18"/>
      <c r="H37" s="18"/>
      <c r="I37" s="18"/>
    </row>
    <row r="38" ht="12.75">
      <c r="C38" s="18"/>
    </row>
    <row r="39" ht="12.75">
      <c r="C39" s="18"/>
    </row>
  </sheetData>
  <sheetProtection/>
  <mergeCells count="4">
    <mergeCell ref="A3:I3"/>
    <mergeCell ref="A21:I21"/>
    <mergeCell ref="A5:I5"/>
    <mergeCell ref="H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2"/>
  <sheetViews>
    <sheetView zoomScale="75" zoomScaleNormal="75" zoomScalePageLayoutView="0" workbookViewId="0" topLeftCell="M1">
      <selection activeCell="V3" sqref="V3"/>
    </sheetView>
  </sheetViews>
  <sheetFormatPr defaultColWidth="9.140625" defaultRowHeight="12.75"/>
  <cols>
    <col min="1" max="2" width="5.7109375" style="936" customWidth="1"/>
    <col min="3" max="3" width="8.8515625" style="936" customWidth="1"/>
    <col min="4" max="4" width="56.00390625" style="937" bestFit="1" customWidth="1"/>
    <col min="5" max="5" width="22.57421875" style="264" customWidth="1"/>
    <col min="6" max="6" width="19.00390625" style="264" customWidth="1"/>
    <col min="7" max="7" width="17.421875" style="264" customWidth="1"/>
    <col min="8" max="8" width="17.8515625" style="264" customWidth="1"/>
    <col min="9" max="11" width="17.8515625" style="264" hidden="1" customWidth="1"/>
    <col min="12" max="15" width="17.8515625" style="264" customWidth="1"/>
    <col min="16" max="18" width="17.8515625" style="264" hidden="1" customWidth="1"/>
    <col min="19" max="19" width="17.8515625" style="879" customWidth="1"/>
    <col min="20" max="22" width="17.8515625" style="264" customWidth="1"/>
    <col min="23" max="25" width="17.8515625" style="879" hidden="1" customWidth="1"/>
    <col min="26" max="26" width="17.8515625" style="879" customWidth="1"/>
    <col min="27" max="27" width="25.00390625" style="879" customWidth="1"/>
    <col min="28" max="16384" width="9.140625" style="879" customWidth="1"/>
  </cols>
  <sheetData>
    <row r="1" spans="1:23" ht="12.75">
      <c r="A1" s="877"/>
      <c r="B1" s="877"/>
      <c r="C1" s="877"/>
      <c r="D1" s="878"/>
      <c r="S1" s="1372" t="s">
        <v>501</v>
      </c>
      <c r="T1" s="1372"/>
      <c r="U1" s="1372"/>
      <c r="V1" s="1372"/>
      <c r="W1" s="1372"/>
    </row>
    <row r="2" spans="1:23" ht="12.75">
      <c r="A2" s="877"/>
      <c r="B2" s="877"/>
      <c r="C2" s="877"/>
      <c r="D2" s="878"/>
      <c r="S2" s="1125"/>
      <c r="T2" s="1125"/>
      <c r="U2" s="1125"/>
      <c r="V2" s="1125" t="s">
        <v>649</v>
      </c>
      <c r="W2" s="1125"/>
    </row>
    <row r="3" spans="1:22" s="882" customFormat="1" ht="34.5" customHeight="1">
      <c r="A3" s="1375" t="s">
        <v>559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880"/>
      <c r="U3" s="881"/>
      <c r="V3" s="881"/>
    </row>
    <row r="4" spans="1:19" ht="13.5" thickBot="1">
      <c r="A4" s="883"/>
      <c r="B4" s="883"/>
      <c r="C4" s="883"/>
      <c r="D4" s="884"/>
      <c r="L4" s="885"/>
      <c r="M4" s="885"/>
      <c r="N4" s="885"/>
      <c r="O4" s="885"/>
      <c r="P4" s="885"/>
      <c r="Q4" s="885"/>
      <c r="R4" s="885"/>
      <c r="S4" s="19" t="s">
        <v>425</v>
      </c>
    </row>
    <row r="5" spans="1:25" ht="45.75" customHeight="1" thickBot="1">
      <c r="A5" s="1294" t="s">
        <v>5</v>
      </c>
      <c r="B5" s="1295"/>
      <c r="C5" s="1295"/>
      <c r="D5" s="269" t="s">
        <v>8</v>
      </c>
      <c r="E5" s="1297" t="s">
        <v>4</v>
      </c>
      <c r="F5" s="1298"/>
      <c r="G5" s="1298"/>
      <c r="H5" s="1298"/>
      <c r="I5" s="1298"/>
      <c r="J5" s="1298"/>
      <c r="K5" s="1299"/>
      <c r="L5" s="1297" t="s">
        <v>58</v>
      </c>
      <c r="M5" s="1298"/>
      <c r="N5" s="1298"/>
      <c r="O5" s="1298"/>
      <c r="P5" s="1298"/>
      <c r="Q5" s="1298"/>
      <c r="R5" s="1299"/>
      <c r="S5" s="1297" t="s">
        <v>59</v>
      </c>
      <c r="T5" s="1298"/>
      <c r="U5" s="1298"/>
      <c r="V5" s="1298"/>
      <c r="W5" s="1298"/>
      <c r="X5" s="1298"/>
      <c r="Y5" s="1299"/>
    </row>
    <row r="6" spans="1:25" ht="45.75" customHeight="1" thickBot="1">
      <c r="A6" s="251"/>
      <c r="B6" s="252"/>
      <c r="C6" s="252"/>
      <c r="D6" s="269"/>
      <c r="E6" s="303" t="s">
        <v>62</v>
      </c>
      <c r="F6" s="304" t="s">
        <v>214</v>
      </c>
      <c r="G6" s="304" t="s">
        <v>219</v>
      </c>
      <c r="H6" s="304" t="s">
        <v>221</v>
      </c>
      <c r="I6" s="304" t="s">
        <v>415</v>
      </c>
      <c r="J6" s="304" t="s">
        <v>418</v>
      </c>
      <c r="K6" s="305" t="s">
        <v>414</v>
      </c>
      <c r="L6" s="303" t="s">
        <v>62</v>
      </c>
      <c r="M6" s="304" t="s">
        <v>214</v>
      </c>
      <c r="N6" s="304" t="s">
        <v>219</v>
      </c>
      <c r="O6" s="304" t="s">
        <v>221</v>
      </c>
      <c r="P6" s="304" t="s">
        <v>415</v>
      </c>
      <c r="Q6" s="304" t="s">
        <v>419</v>
      </c>
      <c r="R6" s="305" t="s">
        <v>414</v>
      </c>
      <c r="S6" s="303" t="s">
        <v>62</v>
      </c>
      <c r="T6" s="304" t="s">
        <v>214</v>
      </c>
      <c r="U6" s="304" t="s">
        <v>219</v>
      </c>
      <c r="V6" s="304" t="s">
        <v>221</v>
      </c>
      <c r="W6" s="304" t="s">
        <v>415</v>
      </c>
      <c r="X6" s="304" t="s">
        <v>419</v>
      </c>
      <c r="Y6" s="305" t="s">
        <v>414</v>
      </c>
    </row>
    <row r="7" spans="1:25" s="889" customFormat="1" ht="21.75" customHeight="1" thickBot="1">
      <c r="A7" s="67"/>
      <c r="B7" s="1296"/>
      <c r="C7" s="1296"/>
      <c r="D7" s="1296"/>
      <c r="E7" s="886"/>
      <c r="F7" s="887"/>
      <c r="G7" s="887"/>
      <c r="H7" s="887"/>
      <c r="I7" s="887"/>
      <c r="J7" s="887"/>
      <c r="K7" s="888"/>
      <c r="L7" s="886"/>
      <c r="M7" s="887"/>
      <c r="N7" s="887"/>
      <c r="O7" s="887"/>
      <c r="P7" s="887"/>
      <c r="Q7" s="887"/>
      <c r="R7" s="888"/>
      <c r="S7" s="886"/>
      <c r="T7" s="887"/>
      <c r="U7" s="887"/>
      <c r="V7" s="887"/>
      <c r="W7" s="887"/>
      <c r="X7" s="887"/>
      <c r="Y7" s="888"/>
    </row>
    <row r="8" spans="1:25" s="889" customFormat="1" ht="21.75" customHeight="1" thickBot="1">
      <c r="A8" s="67" t="s">
        <v>26</v>
      </c>
      <c r="B8" s="1296" t="s">
        <v>267</v>
      </c>
      <c r="C8" s="1296"/>
      <c r="D8" s="1296"/>
      <c r="E8" s="886">
        <f aca="true" t="shared" si="0" ref="E8:J8">E9+E14+E17+E18+E21</f>
        <v>219910000</v>
      </c>
      <c r="F8" s="887">
        <f>F9+F14+F17+F18+F21</f>
        <v>206228365</v>
      </c>
      <c r="G8" s="887">
        <f>G9+G14+G17+G18+G21</f>
        <v>206228365</v>
      </c>
      <c r="H8" s="887">
        <f>H9+H14+H17+H18+H21</f>
        <v>210825770</v>
      </c>
      <c r="I8" s="887">
        <f t="shared" si="0"/>
        <v>0</v>
      </c>
      <c r="J8" s="887">
        <f t="shared" si="0"/>
        <v>0</v>
      </c>
      <c r="K8" s="890" t="e">
        <f>J8/I8</f>
        <v>#DIV/0!</v>
      </c>
      <c r="L8" s="886">
        <f aca="true" t="shared" si="1" ref="L8:R8">L9+L14+L17+L18+L21</f>
        <v>205233131</v>
      </c>
      <c r="M8" s="887">
        <f>M9+M14+M17+M18+M21</f>
        <v>183591717</v>
      </c>
      <c r="N8" s="887">
        <f>N9+N14+N17+N18+N21</f>
        <v>183591717</v>
      </c>
      <c r="O8" s="887">
        <f>O9+O14+O17+O18+O21</f>
        <v>192863718</v>
      </c>
      <c r="P8" s="887">
        <f t="shared" si="1"/>
        <v>-18884537</v>
      </c>
      <c r="Q8" s="887">
        <f t="shared" si="1"/>
        <v>-19769631</v>
      </c>
      <c r="R8" s="888">
        <f t="shared" si="1"/>
        <v>100000002.94864257</v>
      </c>
      <c r="S8" s="886">
        <f aca="true" t="shared" si="2" ref="S8:X8">S9+S14+S17</f>
        <v>14676869</v>
      </c>
      <c r="T8" s="887">
        <f>T9+T14+T17</f>
        <v>22636648</v>
      </c>
      <c r="U8" s="887">
        <f>U9+U14+U17</f>
        <v>22636648</v>
      </c>
      <c r="V8" s="887">
        <f>V9+V14+V17</f>
        <v>17962052</v>
      </c>
      <c r="W8" s="887">
        <f t="shared" si="2"/>
        <v>18884537</v>
      </c>
      <c r="X8" s="887">
        <f t="shared" si="2"/>
        <v>19769631</v>
      </c>
      <c r="Y8" s="890">
        <f>W8/V8</f>
        <v>1.0513574395620278</v>
      </c>
    </row>
    <row r="9" spans="1:25" ht="21.75" customHeight="1">
      <c r="A9" s="891"/>
      <c r="B9" s="198" t="s">
        <v>34</v>
      </c>
      <c r="C9" s="1314" t="s">
        <v>268</v>
      </c>
      <c r="D9" s="1314"/>
      <c r="E9" s="892">
        <f aca="true" t="shared" si="3" ref="E9:J9">SUM(E10:E13)</f>
        <v>19350000</v>
      </c>
      <c r="F9" s="893">
        <f>SUM(F10:F13)</f>
        <v>19350000</v>
      </c>
      <c r="G9" s="893">
        <f>SUM(G10:G13)</f>
        <v>19350000</v>
      </c>
      <c r="H9" s="893">
        <f>SUM(H10:H13)</f>
        <v>20155482</v>
      </c>
      <c r="I9" s="893">
        <f t="shared" si="3"/>
        <v>0</v>
      </c>
      <c r="J9" s="893">
        <f t="shared" si="3"/>
        <v>0</v>
      </c>
      <c r="K9" s="894" t="e">
        <f>J9/I9</f>
        <v>#DIV/0!</v>
      </c>
      <c r="L9" s="892">
        <f aca="true" t="shared" si="4" ref="L9:R9">SUM(L10:L13)</f>
        <v>19350000</v>
      </c>
      <c r="M9" s="893">
        <f>SUM(M10:M13)</f>
        <v>19350000</v>
      </c>
      <c r="N9" s="893">
        <f>SUM(N10:N13)</f>
        <v>19350000</v>
      </c>
      <c r="O9" s="893">
        <f>SUM(O10:O13)</f>
        <v>20155482</v>
      </c>
      <c r="P9" s="893">
        <f t="shared" si="4"/>
        <v>0</v>
      </c>
      <c r="Q9" s="893">
        <f t="shared" si="4"/>
        <v>0</v>
      </c>
      <c r="R9" s="895">
        <f t="shared" si="4"/>
        <v>0</v>
      </c>
      <c r="S9" s="892">
        <v>0</v>
      </c>
      <c r="T9" s="893">
        <v>0</v>
      </c>
      <c r="U9" s="893">
        <v>0</v>
      </c>
      <c r="V9" s="893">
        <v>0</v>
      </c>
      <c r="W9" s="893">
        <v>0</v>
      </c>
      <c r="X9" s="893"/>
      <c r="Y9" s="894"/>
    </row>
    <row r="10" spans="1:25" ht="21.75" customHeight="1">
      <c r="A10" s="896"/>
      <c r="B10" s="60"/>
      <c r="C10" s="60" t="s">
        <v>273</v>
      </c>
      <c r="D10" s="270" t="s">
        <v>269</v>
      </c>
      <c r="E10" s="897">
        <v>0</v>
      </c>
      <c r="F10" s="898">
        <v>0</v>
      </c>
      <c r="G10" s="898">
        <v>0</v>
      </c>
      <c r="H10" s="898">
        <v>0</v>
      </c>
      <c r="I10" s="898">
        <v>0</v>
      </c>
      <c r="J10" s="898">
        <v>0</v>
      </c>
      <c r="K10" s="899"/>
      <c r="L10" s="897">
        <v>0</v>
      </c>
      <c r="M10" s="898">
        <v>0</v>
      </c>
      <c r="N10" s="898">
        <v>0</v>
      </c>
      <c r="O10" s="898">
        <v>0</v>
      </c>
      <c r="P10" s="898">
        <v>0</v>
      </c>
      <c r="Q10" s="898">
        <v>0</v>
      </c>
      <c r="R10" s="900">
        <v>0</v>
      </c>
      <c r="S10" s="897">
        <v>0</v>
      </c>
      <c r="T10" s="898">
        <v>0</v>
      </c>
      <c r="U10" s="898">
        <v>0</v>
      </c>
      <c r="V10" s="898">
        <v>0</v>
      </c>
      <c r="W10" s="898">
        <v>0</v>
      </c>
      <c r="X10" s="898"/>
      <c r="Y10" s="654"/>
    </row>
    <row r="11" spans="1:25" ht="21.75" customHeight="1" thickBot="1">
      <c r="A11" s="896"/>
      <c r="B11" s="60"/>
      <c r="C11" s="60" t="s">
        <v>274</v>
      </c>
      <c r="D11" s="270" t="s">
        <v>254</v>
      </c>
      <c r="E11" s="897">
        <v>0</v>
      </c>
      <c r="F11" s="898">
        <v>0</v>
      </c>
      <c r="G11" s="898">
        <v>0</v>
      </c>
      <c r="H11" s="898">
        <v>0</v>
      </c>
      <c r="I11" s="898">
        <v>0</v>
      </c>
      <c r="J11" s="898">
        <v>0</v>
      </c>
      <c r="K11" s="899"/>
      <c r="L11" s="897">
        <v>0</v>
      </c>
      <c r="M11" s="898">
        <v>0</v>
      </c>
      <c r="N11" s="898">
        <v>0</v>
      </c>
      <c r="O11" s="898">
        <v>0</v>
      </c>
      <c r="P11" s="898">
        <v>0</v>
      </c>
      <c r="Q11" s="898">
        <v>0</v>
      </c>
      <c r="R11" s="900">
        <v>0</v>
      </c>
      <c r="S11" s="897">
        <v>0</v>
      </c>
      <c r="T11" s="898">
        <v>0</v>
      </c>
      <c r="U11" s="898">
        <v>0</v>
      </c>
      <c r="V11" s="898">
        <v>0</v>
      </c>
      <c r="W11" s="898">
        <v>0</v>
      </c>
      <c r="X11" s="898"/>
      <c r="Y11" s="654"/>
    </row>
    <row r="12" spans="1:25" ht="21.75" customHeight="1">
      <c r="A12" s="896"/>
      <c r="B12" s="60"/>
      <c r="C12" s="60" t="s">
        <v>275</v>
      </c>
      <c r="D12" s="270" t="s">
        <v>253</v>
      </c>
      <c r="E12" s="897">
        <v>19350000</v>
      </c>
      <c r="F12" s="898">
        <v>19350000</v>
      </c>
      <c r="G12" s="898">
        <v>19350000</v>
      </c>
      <c r="H12" s="898">
        <v>20155482</v>
      </c>
      <c r="I12" s="898"/>
      <c r="J12" s="893"/>
      <c r="K12" s="899"/>
      <c r="L12" s="858">
        <f>E12</f>
        <v>19350000</v>
      </c>
      <c r="M12" s="844">
        <f>F12</f>
        <v>19350000</v>
      </c>
      <c r="N12" s="844">
        <f>G12</f>
        <v>19350000</v>
      </c>
      <c r="O12" s="844">
        <f>H12</f>
        <v>20155482</v>
      </c>
      <c r="P12" s="898">
        <f>I12-W12</f>
        <v>0</v>
      </c>
      <c r="Q12" s="844">
        <f>J12</f>
        <v>0</v>
      </c>
      <c r="R12" s="865">
        <f>K12</f>
        <v>0</v>
      </c>
      <c r="S12" s="897">
        <v>0</v>
      </c>
      <c r="T12" s="898">
        <v>0</v>
      </c>
      <c r="U12" s="898">
        <v>0</v>
      </c>
      <c r="V12" s="898">
        <v>0</v>
      </c>
      <c r="W12" s="898">
        <v>0</v>
      </c>
      <c r="X12" s="898"/>
      <c r="Y12" s="654"/>
    </row>
    <row r="13" spans="1:35" ht="21.75" customHeight="1" hidden="1">
      <c r="A13" s="896"/>
      <c r="B13" s="60"/>
      <c r="C13" s="60"/>
      <c r="D13" s="270"/>
      <c r="E13" s="901"/>
      <c r="F13" s="902"/>
      <c r="G13" s="902"/>
      <c r="H13" s="902"/>
      <c r="I13" s="902"/>
      <c r="J13" s="902"/>
      <c r="K13" s="654" t="e">
        <f>J13/I13</f>
        <v>#DIV/0!</v>
      </c>
      <c r="L13" s="901"/>
      <c r="M13" s="902"/>
      <c r="N13" s="902"/>
      <c r="O13" s="902"/>
      <c r="P13" s="902"/>
      <c r="Q13" s="902"/>
      <c r="R13" s="903"/>
      <c r="S13" s="901"/>
      <c r="T13" s="902"/>
      <c r="U13" s="902"/>
      <c r="V13" s="902"/>
      <c r="W13" s="902"/>
      <c r="X13" s="902"/>
      <c r="Y13" s="654" t="e">
        <f>W13/V13</f>
        <v>#DIV/0!</v>
      </c>
      <c r="AI13" s="879" t="s">
        <v>230</v>
      </c>
    </row>
    <row r="14" spans="1:25" ht="21.75" customHeight="1">
      <c r="A14" s="896"/>
      <c r="B14" s="60" t="s">
        <v>35</v>
      </c>
      <c r="C14" s="1370" t="s">
        <v>270</v>
      </c>
      <c r="D14" s="1370"/>
      <c r="E14" s="901">
        <f aca="true" t="shared" si="5" ref="E14:J14">SUM(E15:E16)</f>
        <v>185000000</v>
      </c>
      <c r="F14" s="902">
        <f>SUM(F15:F16)</f>
        <v>185000000</v>
      </c>
      <c r="G14" s="902">
        <f>SUM(G15:G16)</f>
        <v>185000000</v>
      </c>
      <c r="H14" s="902">
        <f>SUM(H15:H16)</f>
        <v>186935256</v>
      </c>
      <c r="I14" s="902">
        <f t="shared" si="5"/>
        <v>0</v>
      </c>
      <c r="J14" s="902">
        <f t="shared" si="5"/>
        <v>0</v>
      </c>
      <c r="K14" s="654" t="e">
        <f>J14/I14</f>
        <v>#DIV/0!</v>
      </c>
      <c r="L14" s="901">
        <f>SUM(L15:L16)</f>
        <v>170323131</v>
      </c>
      <c r="M14" s="902">
        <f>SUM(M15:M16)</f>
        <v>162363352</v>
      </c>
      <c r="N14" s="902">
        <f>SUM(N15:N16)</f>
        <v>162363352</v>
      </c>
      <c r="O14" s="902">
        <f>SUM(O15:O16)</f>
        <v>168973204</v>
      </c>
      <c r="P14" s="902">
        <f aca="true" t="shared" si="6" ref="P14:X14">SUM(P15:P16)</f>
        <v>-18884537</v>
      </c>
      <c r="Q14" s="902">
        <f t="shared" si="6"/>
        <v>-19769631</v>
      </c>
      <c r="R14" s="903">
        <f t="shared" si="6"/>
        <v>100000000.94864257</v>
      </c>
      <c r="S14" s="901">
        <f t="shared" si="6"/>
        <v>14676869</v>
      </c>
      <c r="T14" s="902">
        <f>SUM(T15:T16)</f>
        <v>22636648</v>
      </c>
      <c r="U14" s="902">
        <f>SUM(U15:U16)</f>
        <v>22636648</v>
      </c>
      <c r="V14" s="902">
        <f>SUM(V15:V16)</f>
        <v>17962052</v>
      </c>
      <c r="W14" s="902">
        <f t="shared" si="6"/>
        <v>18884537</v>
      </c>
      <c r="X14" s="902">
        <f t="shared" si="6"/>
        <v>19769631</v>
      </c>
      <c r="Y14" s="654">
        <f>W14/V14</f>
        <v>1.0513574395620278</v>
      </c>
    </row>
    <row r="15" spans="1:31" ht="21.75" customHeight="1">
      <c r="A15" s="896"/>
      <c r="B15" s="60"/>
      <c r="C15" s="60" t="s">
        <v>271</v>
      </c>
      <c r="D15" s="904" t="s">
        <v>465</v>
      </c>
      <c r="E15" s="897">
        <v>185000000</v>
      </c>
      <c r="F15" s="898">
        <v>185000000</v>
      </c>
      <c r="G15" s="898">
        <v>185000000</v>
      </c>
      <c r="H15" s="898">
        <v>186935256</v>
      </c>
      <c r="I15" s="898"/>
      <c r="J15" s="898"/>
      <c r="K15" s="899"/>
      <c r="L15" s="897">
        <f aca="true" t="shared" si="7" ref="L15:Q15">E15-S15</f>
        <v>170323131</v>
      </c>
      <c r="M15" s="898">
        <f t="shared" si="7"/>
        <v>162363352</v>
      </c>
      <c r="N15" s="898">
        <f t="shared" si="7"/>
        <v>162363352</v>
      </c>
      <c r="O15" s="898">
        <f t="shared" si="7"/>
        <v>168973204</v>
      </c>
      <c r="P15" s="898">
        <f t="shared" si="7"/>
        <v>-18884537</v>
      </c>
      <c r="Q15" s="898">
        <f t="shared" si="7"/>
        <v>-19769631</v>
      </c>
      <c r="R15" s="900">
        <f>100000000-Y15</f>
        <v>99999998.94864257</v>
      </c>
      <c r="S15" s="897">
        <v>14676869</v>
      </c>
      <c r="T15" s="898">
        <f>14676869+7959779</f>
        <v>22636648</v>
      </c>
      <c r="U15" s="898">
        <f>14676869+7959779</f>
        <v>22636648</v>
      </c>
      <c r="V15" s="898">
        <v>17962052</v>
      </c>
      <c r="W15" s="898">
        <f>'4.sz.m.ÖNK kiadás'!W40</f>
        <v>18884537</v>
      </c>
      <c r="X15" s="898">
        <v>19769631</v>
      </c>
      <c r="Y15" s="654">
        <f>W15/V15</f>
        <v>1.0513574395620278</v>
      </c>
      <c r="Z15" s="264"/>
      <c r="AA15" s="264"/>
      <c r="AB15" s="264"/>
      <c r="AC15" s="264"/>
      <c r="AD15" s="264"/>
      <c r="AE15" s="264"/>
    </row>
    <row r="16" spans="1:25" ht="21.75" customHeight="1">
      <c r="A16" s="896"/>
      <c r="B16" s="60"/>
      <c r="C16" s="60" t="s">
        <v>272</v>
      </c>
      <c r="D16" s="904" t="s">
        <v>277</v>
      </c>
      <c r="E16" s="897"/>
      <c r="F16" s="898"/>
      <c r="G16" s="898"/>
      <c r="H16" s="898"/>
      <c r="I16" s="898"/>
      <c r="J16" s="898"/>
      <c r="K16" s="899"/>
      <c r="L16" s="897">
        <v>0</v>
      </c>
      <c r="M16" s="898">
        <v>0</v>
      </c>
      <c r="N16" s="898">
        <v>0</v>
      </c>
      <c r="O16" s="898">
        <v>0</v>
      </c>
      <c r="P16" s="898">
        <v>0</v>
      </c>
      <c r="Q16" s="898">
        <v>0</v>
      </c>
      <c r="R16" s="900">
        <v>2</v>
      </c>
      <c r="S16" s="897">
        <v>0</v>
      </c>
      <c r="T16" s="898">
        <v>0</v>
      </c>
      <c r="U16" s="898">
        <v>0</v>
      </c>
      <c r="V16" s="898">
        <v>0</v>
      </c>
      <c r="W16" s="898">
        <v>0</v>
      </c>
      <c r="X16" s="898"/>
      <c r="Y16" s="654"/>
    </row>
    <row r="17" spans="1:25" ht="21.75" customHeight="1">
      <c r="A17" s="896"/>
      <c r="B17" s="60" t="s">
        <v>109</v>
      </c>
      <c r="C17" s="1370" t="s">
        <v>278</v>
      </c>
      <c r="D17" s="1370"/>
      <c r="E17" s="897">
        <v>14150000</v>
      </c>
      <c r="F17" s="898">
        <v>468365</v>
      </c>
      <c r="G17" s="898">
        <v>468365</v>
      </c>
      <c r="H17" s="898">
        <v>468365</v>
      </c>
      <c r="I17" s="898"/>
      <c r="J17" s="898"/>
      <c r="K17" s="899"/>
      <c r="L17" s="858">
        <f>E17</f>
        <v>14150000</v>
      </c>
      <c r="M17" s="844">
        <f>F17</f>
        <v>468365</v>
      </c>
      <c r="N17" s="844">
        <f>G17</f>
        <v>468365</v>
      </c>
      <c r="O17" s="844">
        <f>H17</f>
        <v>468365</v>
      </c>
      <c r="P17" s="898">
        <f>I17-W17</f>
        <v>0</v>
      </c>
      <c r="Q17" s="844">
        <f>J17</f>
        <v>0</v>
      </c>
      <c r="R17" s="865">
        <f>K17</f>
        <v>0</v>
      </c>
      <c r="S17" s="897">
        <v>0</v>
      </c>
      <c r="T17" s="898">
        <v>0</v>
      </c>
      <c r="U17" s="898">
        <v>0</v>
      </c>
      <c r="V17" s="898">
        <v>0</v>
      </c>
      <c r="W17" s="898">
        <v>0</v>
      </c>
      <c r="X17" s="898"/>
      <c r="Y17" s="654"/>
    </row>
    <row r="18" spans="1:25" ht="21.75" customHeight="1">
      <c r="A18" s="896"/>
      <c r="B18" s="60" t="s">
        <v>47</v>
      </c>
      <c r="C18" s="1371" t="s">
        <v>279</v>
      </c>
      <c r="D18" s="1371"/>
      <c r="E18" s="901">
        <f>SUM(E19:E20)</f>
        <v>0</v>
      </c>
      <c r="F18" s="902">
        <f>SUM(F19:F20)</f>
        <v>0</v>
      </c>
      <c r="G18" s="902">
        <f>SUM(G19:G20)</f>
        <v>0</v>
      </c>
      <c r="H18" s="902">
        <f>SUM(H19:H20)</f>
        <v>0</v>
      </c>
      <c r="I18" s="902">
        <f>SUM(I19:I20)</f>
        <v>0</v>
      </c>
      <c r="J18" s="902">
        <v>0</v>
      </c>
      <c r="K18" s="654" t="e">
        <f>J18/I18</f>
        <v>#DIV/0!</v>
      </c>
      <c r="L18" s="901">
        <v>0</v>
      </c>
      <c r="M18" s="902">
        <v>0</v>
      </c>
      <c r="N18" s="902">
        <v>0</v>
      </c>
      <c r="O18" s="902">
        <v>0</v>
      </c>
      <c r="P18" s="902">
        <f>SUM(P19:P20)</f>
        <v>0</v>
      </c>
      <c r="Q18" s="902">
        <v>0</v>
      </c>
      <c r="R18" s="903">
        <f>SUM(R19:R20)</f>
        <v>2</v>
      </c>
      <c r="S18" s="901">
        <v>0</v>
      </c>
      <c r="T18" s="902">
        <v>0</v>
      </c>
      <c r="U18" s="902">
        <v>0</v>
      </c>
      <c r="V18" s="902">
        <v>0</v>
      </c>
      <c r="W18" s="902">
        <v>0</v>
      </c>
      <c r="X18" s="902"/>
      <c r="Y18" s="654"/>
    </row>
    <row r="19" spans="1:25" ht="21.75" customHeight="1">
      <c r="A19" s="896"/>
      <c r="B19" s="60"/>
      <c r="C19" s="60" t="s">
        <v>280</v>
      </c>
      <c r="D19" s="904" t="s">
        <v>282</v>
      </c>
      <c r="E19" s="897">
        <v>0</v>
      </c>
      <c r="F19" s="898">
        <v>0</v>
      </c>
      <c r="G19" s="898">
        <v>0</v>
      </c>
      <c r="H19" s="898">
        <v>0</v>
      </c>
      <c r="I19" s="898">
        <v>0</v>
      </c>
      <c r="J19" s="898">
        <v>0</v>
      </c>
      <c r="K19" s="899"/>
      <c r="L19" s="897">
        <v>0</v>
      </c>
      <c r="M19" s="898">
        <v>0</v>
      </c>
      <c r="N19" s="898">
        <v>0</v>
      </c>
      <c r="O19" s="898">
        <v>0</v>
      </c>
      <c r="P19" s="898">
        <v>0</v>
      </c>
      <c r="Q19" s="898">
        <v>0</v>
      </c>
      <c r="R19" s="900">
        <v>2</v>
      </c>
      <c r="S19" s="897">
        <v>0</v>
      </c>
      <c r="T19" s="898">
        <v>0</v>
      </c>
      <c r="U19" s="898">
        <v>0</v>
      </c>
      <c r="V19" s="898">
        <v>0</v>
      </c>
      <c r="W19" s="898">
        <v>0</v>
      </c>
      <c r="X19" s="898"/>
      <c r="Y19" s="654"/>
    </row>
    <row r="20" spans="1:25" ht="21.75" customHeight="1" hidden="1">
      <c r="A20" s="896"/>
      <c r="B20" s="60"/>
      <c r="C20" s="60" t="s">
        <v>281</v>
      </c>
      <c r="D20" s="904" t="s">
        <v>255</v>
      </c>
      <c r="E20" s="897"/>
      <c r="F20" s="898"/>
      <c r="G20" s="898"/>
      <c r="H20" s="898"/>
      <c r="I20" s="898"/>
      <c r="J20" s="898"/>
      <c r="K20" s="899"/>
      <c r="L20" s="858">
        <f aca="true" t="shared" si="8" ref="L20:O21">E20</f>
        <v>0</v>
      </c>
      <c r="M20" s="844">
        <f t="shared" si="8"/>
        <v>0</v>
      </c>
      <c r="N20" s="844">
        <f t="shared" si="8"/>
        <v>0</v>
      </c>
      <c r="O20" s="844">
        <f t="shared" si="8"/>
        <v>0</v>
      </c>
      <c r="P20" s="898"/>
      <c r="Q20" s="844">
        <f>J20</f>
        <v>0</v>
      </c>
      <c r="R20" s="865">
        <f>K20</f>
        <v>0</v>
      </c>
      <c r="S20" s="897">
        <v>0</v>
      </c>
      <c r="T20" s="898">
        <v>0</v>
      </c>
      <c r="U20" s="898">
        <v>0</v>
      </c>
      <c r="V20" s="898">
        <v>0</v>
      </c>
      <c r="W20" s="898">
        <v>0</v>
      </c>
      <c r="X20" s="898"/>
      <c r="Y20" s="654"/>
    </row>
    <row r="21" spans="1:25" ht="21.75" customHeight="1" thickBot="1">
      <c r="A21" s="905"/>
      <c r="B21" s="530" t="s">
        <v>48</v>
      </c>
      <c r="C21" s="1373" t="s">
        <v>283</v>
      </c>
      <c r="D21" s="1373"/>
      <c r="E21" s="906">
        <v>1410000</v>
      </c>
      <c r="F21" s="907">
        <v>1410000</v>
      </c>
      <c r="G21" s="907">
        <v>1410000</v>
      </c>
      <c r="H21" s="907">
        <v>3266667</v>
      </c>
      <c r="I21" s="907"/>
      <c r="J21" s="907"/>
      <c r="K21" s="908"/>
      <c r="L21" s="858">
        <f t="shared" si="8"/>
        <v>1410000</v>
      </c>
      <c r="M21" s="844">
        <f t="shared" si="8"/>
        <v>1410000</v>
      </c>
      <c r="N21" s="844">
        <f t="shared" si="8"/>
        <v>1410000</v>
      </c>
      <c r="O21" s="844">
        <f t="shared" si="8"/>
        <v>3266667</v>
      </c>
      <c r="P21" s="898">
        <f>I21-W21</f>
        <v>0</v>
      </c>
      <c r="Q21" s="844">
        <f>J21</f>
        <v>0</v>
      </c>
      <c r="R21" s="865">
        <f>K21</f>
        <v>0</v>
      </c>
      <c r="S21" s="906">
        <v>0</v>
      </c>
      <c r="T21" s="907">
        <v>0</v>
      </c>
      <c r="U21" s="907">
        <v>0</v>
      </c>
      <c r="V21" s="907">
        <v>0</v>
      </c>
      <c r="W21" s="907">
        <v>0</v>
      </c>
      <c r="X21" s="907"/>
      <c r="Y21" s="655"/>
    </row>
    <row r="22" spans="1:26" ht="21.75" customHeight="1" thickBot="1">
      <c r="A22" s="67" t="s">
        <v>284</v>
      </c>
      <c r="B22" s="1296" t="s">
        <v>285</v>
      </c>
      <c r="C22" s="1296"/>
      <c r="D22" s="1296"/>
      <c r="E22" s="886">
        <f aca="true" t="shared" si="9" ref="E22:J22">E23+E24+E25+E29+E30+E31+E32</f>
        <v>39796998</v>
      </c>
      <c r="F22" s="887">
        <f>F23+F24+F25+F29+F30+F31+F32</f>
        <v>28161255</v>
      </c>
      <c r="G22" s="887">
        <f>G23+G24+G25+G29+G30+G31+G32</f>
        <v>23761076</v>
      </c>
      <c r="H22" s="887">
        <f>H23+H24+H25+H29+H30+H31+H32</f>
        <v>17898605</v>
      </c>
      <c r="I22" s="887">
        <f t="shared" si="9"/>
        <v>0</v>
      </c>
      <c r="J22" s="887">
        <f t="shared" si="9"/>
        <v>0</v>
      </c>
      <c r="K22" s="890" t="e">
        <f>J22/I22</f>
        <v>#DIV/0!</v>
      </c>
      <c r="L22" s="886">
        <f aca="true" t="shared" si="10" ref="L22:R22">L23+L24+L25+L29+L30+L31+L32</f>
        <v>39606498</v>
      </c>
      <c r="M22" s="887">
        <f>M23+M24+M25+M29+M30+M31+M32</f>
        <v>27970755</v>
      </c>
      <c r="N22" s="887">
        <f>N23+N24+N25+N29+N30+N31+N32</f>
        <v>23570576</v>
      </c>
      <c r="O22" s="887">
        <f>O23+O24+O25+O29+O30+O31+O32</f>
        <v>17708105</v>
      </c>
      <c r="P22" s="887">
        <f t="shared" si="10"/>
        <v>0</v>
      </c>
      <c r="Q22" s="887">
        <f t="shared" si="10"/>
        <v>-381000</v>
      </c>
      <c r="R22" s="888">
        <f t="shared" si="10"/>
        <v>4</v>
      </c>
      <c r="S22" s="886">
        <f>SUM(S23:S32)</f>
        <v>190500</v>
      </c>
      <c r="T22" s="887">
        <f>SUM(T23:T32)</f>
        <v>190500</v>
      </c>
      <c r="U22" s="887">
        <f>SUM(U23:U32)</f>
        <v>190500</v>
      </c>
      <c r="V22" s="887">
        <f>SUM(V23:V32)</f>
        <v>190500</v>
      </c>
      <c r="W22" s="887">
        <f>SUM(W23:W32)</f>
        <v>0</v>
      </c>
      <c r="X22" s="887">
        <f>X23+X24+X25+X29+X30+X31+X32</f>
        <v>381000</v>
      </c>
      <c r="Y22" s="890">
        <f>W22/V22</f>
        <v>0</v>
      </c>
      <c r="Z22" s="264"/>
    </row>
    <row r="23" spans="1:25" ht="21.75" customHeight="1">
      <c r="A23" s="909"/>
      <c r="B23" s="66" t="s">
        <v>37</v>
      </c>
      <c r="C23" s="1310" t="s">
        <v>286</v>
      </c>
      <c r="D23" s="1310"/>
      <c r="E23" s="910">
        <v>11131866</v>
      </c>
      <c r="F23" s="911">
        <v>11131866</v>
      </c>
      <c r="G23" s="911">
        <v>11131866</v>
      </c>
      <c r="H23" s="911">
        <v>13194903</v>
      </c>
      <c r="I23" s="911"/>
      <c r="J23" s="911"/>
      <c r="K23" s="899"/>
      <c r="L23" s="858">
        <f aca="true" t="shared" si="11" ref="L23:Q23">E23-S23</f>
        <v>10941366</v>
      </c>
      <c r="M23" s="844">
        <f t="shared" si="11"/>
        <v>10941366</v>
      </c>
      <c r="N23" s="844">
        <f t="shared" si="11"/>
        <v>10941366</v>
      </c>
      <c r="O23" s="844">
        <f t="shared" si="11"/>
        <v>13004403</v>
      </c>
      <c r="P23" s="898">
        <f t="shared" si="11"/>
        <v>0</v>
      </c>
      <c r="Q23" s="844">
        <f t="shared" si="11"/>
        <v>-300000</v>
      </c>
      <c r="R23" s="865">
        <f>K23</f>
        <v>0</v>
      </c>
      <c r="S23" s="910">
        <v>190500</v>
      </c>
      <c r="T23" s="911">
        <v>190500</v>
      </c>
      <c r="U23" s="911">
        <v>190500</v>
      </c>
      <c r="V23" s="911">
        <v>190500</v>
      </c>
      <c r="W23" s="911">
        <v>0</v>
      </c>
      <c r="X23" s="911">
        <v>300000</v>
      </c>
      <c r="Y23" s="656"/>
    </row>
    <row r="24" spans="1:25" ht="21.75" customHeight="1">
      <c r="A24" s="896"/>
      <c r="B24" s="60" t="s">
        <v>38</v>
      </c>
      <c r="C24" s="1302" t="s">
        <v>318</v>
      </c>
      <c r="D24" s="1302"/>
      <c r="E24" s="845">
        <v>3983000</v>
      </c>
      <c r="F24" s="846">
        <v>3983000</v>
      </c>
      <c r="G24" s="846">
        <v>3983000</v>
      </c>
      <c r="H24" s="846">
        <v>1991799</v>
      </c>
      <c r="I24" s="846"/>
      <c r="J24" s="846"/>
      <c r="K24" s="899"/>
      <c r="L24" s="858">
        <f>E24</f>
        <v>3983000</v>
      </c>
      <c r="M24" s="844">
        <f>F24</f>
        <v>3983000</v>
      </c>
      <c r="N24" s="844">
        <f>G24</f>
        <v>3983000</v>
      </c>
      <c r="O24" s="844">
        <f>H24</f>
        <v>1991799</v>
      </c>
      <c r="P24" s="898">
        <f>I24-W24</f>
        <v>0</v>
      </c>
      <c r="Q24" s="844">
        <f>J24</f>
        <v>0</v>
      </c>
      <c r="R24" s="865">
        <f>K24</f>
        <v>0</v>
      </c>
      <c r="S24" s="845">
        <v>0</v>
      </c>
      <c r="T24" s="846">
        <v>0</v>
      </c>
      <c r="U24" s="846">
        <v>0</v>
      </c>
      <c r="V24" s="846">
        <v>0</v>
      </c>
      <c r="W24" s="846">
        <v>0</v>
      </c>
      <c r="X24" s="846"/>
      <c r="Y24" s="642"/>
    </row>
    <row r="25" spans="1:25" ht="21.75" customHeight="1">
      <c r="A25" s="896"/>
      <c r="B25" s="60" t="s">
        <v>39</v>
      </c>
      <c r="C25" s="1302" t="s">
        <v>288</v>
      </c>
      <c r="D25" s="1302"/>
      <c r="E25" s="309">
        <f aca="true" t="shared" si="12" ref="E25:J25">SUM(E26:E28)</f>
        <v>1325401</v>
      </c>
      <c r="F25" s="238">
        <f>SUM(F26:F28)</f>
        <v>1325401</v>
      </c>
      <c r="G25" s="238">
        <f>SUM(G26:G28)</f>
        <v>1325401</v>
      </c>
      <c r="H25" s="238">
        <f>SUM(H26:H28)</f>
        <v>643286</v>
      </c>
      <c r="I25" s="238">
        <f t="shared" si="12"/>
        <v>0</v>
      </c>
      <c r="J25" s="238">
        <f t="shared" si="12"/>
        <v>0</v>
      </c>
      <c r="K25" s="654" t="e">
        <f>J25/I25</f>
        <v>#DIV/0!</v>
      </c>
      <c r="L25" s="309">
        <f aca="true" t="shared" si="13" ref="L25:R25">SUM(L26:L28)</f>
        <v>1325401</v>
      </c>
      <c r="M25" s="238">
        <f>SUM(M26:M28)</f>
        <v>1325401</v>
      </c>
      <c r="N25" s="238">
        <f>SUM(N26:N28)</f>
        <v>1325401</v>
      </c>
      <c r="O25" s="238">
        <f>SUM(O26:O28)</f>
        <v>643286</v>
      </c>
      <c r="P25" s="238">
        <f t="shared" si="13"/>
        <v>0</v>
      </c>
      <c r="Q25" s="238">
        <f t="shared" si="13"/>
        <v>0</v>
      </c>
      <c r="R25" s="866">
        <f t="shared" si="13"/>
        <v>2</v>
      </c>
      <c r="S25" s="309">
        <v>0</v>
      </c>
      <c r="T25" s="238">
        <v>0</v>
      </c>
      <c r="U25" s="238">
        <v>0</v>
      </c>
      <c r="V25" s="238">
        <v>0</v>
      </c>
      <c r="W25" s="238">
        <v>0</v>
      </c>
      <c r="X25" s="238"/>
      <c r="Y25" s="642" t="e">
        <f>W25/V25</f>
        <v>#DIV/0!</v>
      </c>
    </row>
    <row r="26" spans="1:25" ht="21.75" customHeight="1">
      <c r="A26" s="896"/>
      <c r="B26" s="60"/>
      <c r="C26" s="60" t="s">
        <v>93</v>
      </c>
      <c r="D26" s="270" t="s">
        <v>289</v>
      </c>
      <c r="E26" s="845">
        <f>1325401-495753</f>
        <v>829648</v>
      </c>
      <c r="F26" s="846">
        <f>1325401-495753</f>
        <v>829648</v>
      </c>
      <c r="G26" s="846">
        <f>1325401-495753</f>
        <v>829648</v>
      </c>
      <c r="H26" s="846">
        <v>252928</v>
      </c>
      <c r="I26" s="846"/>
      <c r="J26" s="846"/>
      <c r="K26" s="899"/>
      <c r="L26" s="858">
        <f aca="true" t="shared" si="14" ref="L26:O28">E26</f>
        <v>829648</v>
      </c>
      <c r="M26" s="844">
        <f t="shared" si="14"/>
        <v>829648</v>
      </c>
      <c r="N26" s="844">
        <f t="shared" si="14"/>
        <v>829648</v>
      </c>
      <c r="O26" s="844">
        <f t="shared" si="14"/>
        <v>252928</v>
      </c>
      <c r="P26" s="898">
        <f aca="true" t="shared" si="15" ref="P26:P32">I26-W26</f>
        <v>0</v>
      </c>
      <c r="Q26" s="844">
        <f>J26</f>
        <v>0</v>
      </c>
      <c r="R26" s="865">
        <f aca="true" t="shared" si="16" ref="Q26:R28">K26</f>
        <v>0</v>
      </c>
      <c r="S26" s="845">
        <v>0</v>
      </c>
      <c r="T26" s="846">
        <v>0</v>
      </c>
      <c r="U26" s="846">
        <v>0</v>
      </c>
      <c r="V26" s="846">
        <v>0</v>
      </c>
      <c r="W26" s="846">
        <v>0</v>
      </c>
      <c r="X26" s="846"/>
      <c r="Y26" s="642" t="e">
        <f>W26/V26</f>
        <v>#DIV/0!</v>
      </c>
    </row>
    <row r="27" spans="1:25" ht="41.25" customHeight="1">
      <c r="A27" s="896"/>
      <c r="B27" s="60"/>
      <c r="C27" s="60" t="s">
        <v>94</v>
      </c>
      <c r="D27" s="270" t="s">
        <v>290</v>
      </c>
      <c r="E27" s="845">
        <v>495753</v>
      </c>
      <c r="F27" s="846">
        <v>495753</v>
      </c>
      <c r="G27" s="846">
        <v>495753</v>
      </c>
      <c r="H27" s="846">
        <v>390358</v>
      </c>
      <c r="I27" s="846"/>
      <c r="J27" s="846"/>
      <c r="K27" s="899"/>
      <c r="L27" s="858">
        <f t="shared" si="14"/>
        <v>495753</v>
      </c>
      <c r="M27" s="844">
        <f t="shared" si="14"/>
        <v>495753</v>
      </c>
      <c r="N27" s="844">
        <f t="shared" si="14"/>
        <v>495753</v>
      </c>
      <c r="O27" s="844">
        <f t="shared" si="14"/>
        <v>390358</v>
      </c>
      <c r="P27" s="898">
        <f t="shared" si="15"/>
        <v>0</v>
      </c>
      <c r="Q27" s="844">
        <f t="shared" si="16"/>
        <v>0</v>
      </c>
      <c r="R27" s="865">
        <f t="shared" si="16"/>
        <v>0</v>
      </c>
      <c r="S27" s="845">
        <v>0</v>
      </c>
      <c r="T27" s="846">
        <v>0</v>
      </c>
      <c r="U27" s="846">
        <v>0</v>
      </c>
      <c r="V27" s="846">
        <v>0</v>
      </c>
      <c r="W27" s="846">
        <v>0</v>
      </c>
      <c r="X27" s="846"/>
      <c r="Y27" s="642"/>
    </row>
    <row r="28" spans="1:25" ht="21.75" customHeight="1">
      <c r="A28" s="896"/>
      <c r="B28" s="60"/>
      <c r="C28" s="60" t="s">
        <v>95</v>
      </c>
      <c r="D28" s="270" t="s">
        <v>458</v>
      </c>
      <c r="E28" s="845"/>
      <c r="F28" s="846"/>
      <c r="G28" s="846"/>
      <c r="H28" s="846"/>
      <c r="I28" s="846"/>
      <c r="J28" s="846"/>
      <c r="K28" s="847"/>
      <c r="L28" s="858">
        <f t="shared" si="14"/>
        <v>0</v>
      </c>
      <c r="M28" s="844">
        <f t="shared" si="14"/>
        <v>0</v>
      </c>
      <c r="N28" s="844">
        <f t="shared" si="14"/>
        <v>0</v>
      </c>
      <c r="O28" s="844">
        <f t="shared" si="14"/>
        <v>0</v>
      </c>
      <c r="P28" s="898">
        <f t="shared" si="15"/>
        <v>0</v>
      </c>
      <c r="Q28" s="844">
        <f t="shared" si="16"/>
        <v>0</v>
      </c>
      <c r="R28" s="867">
        <v>2</v>
      </c>
      <c r="S28" s="845">
        <v>0</v>
      </c>
      <c r="T28" s="846">
        <v>0</v>
      </c>
      <c r="U28" s="846">
        <v>0</v>
      </c>
      <c r="V28" s="846">
        <v>0</v>
      </c>
      <c r="W28" s="846">
        <v>0</v>
      </c>
      <c r="X28" s="846"/>
      <c r="Y28" s="642"/>
    </row>
    <row r="29" spans="1:25" ht="21.75" customHeight="1">
      <c r="A29" s="896"/>
      <c r="B29" s="60" t="s">
        <v>256</v>
      </c>
      <c r="C29" s="1302" t="s">
        <v>291</v>
      </c>
      <c r="D29" s="1302"/>
      <c r="E29" s="845">
        <v>1115910</v>
      </c>
      <c r="F29" s="846">
        <v>1115910</v>
      </c>
      <c r="G29" s="846">
        <v>1115910</v>
      </c>
      <c r="H29" s="846">
        <v>811495</v>
      </c>
      <c r="I29" s="846"/>
      <c r="J29" s="846"/>
      <c r="K29" s="899"/>
      <c r="L29" s="858">
        <f aca="true" t="shared" si="17" ref="L29:O30">E29-S29</f>
        <v>1115910</v>
      </c>
      <c r="M29" s="844">
        <f t="shared" si="17"/>
        <v>1115910</v>
      </c>
      <c r="N29" s="844">
        <f t="shared" si="17"/>
        <v>1115910</v>
      </c>
      <c r="O29" s="844">
        <f t="shared" si="17"/>
        <v>811495</v>
      </c>
      <c r="P29" s="898">
        <f t="shared" si="15"/>
        <v>0</v>
      </c>
      <c r="Q29" s="844">
        <f>J29-X29</f>
        <v>-81000</v>
      </c>
      <c r="R29" s="865">
        <f>K29</f>
        <v>0</v>
      </c>
      <c r="S29" s="845">
        <v>0</v>
      </c>
      <c r="T29" s="846">
        <v>0</v>
      </c>
      <c r="U29" s="846">
        <v>0</v>
      </c>
      <c r="V29" s="846">
        <v>0</v>
      </c>
      <c r="W29" s="846">
        <v>0</v>
      </c>
      <c r="X29" s="846">
        <v>81000</v>
      </c>
      <c r="Y29" s="642"/>
    </row>
    <row r="30" spans="1:25" ht="21.75" customHeight="1">
      <c r="A30" s="912"/>
      <c r="B30" s="69" t="s">
        <v>292</v>
      </c>
      <c r="C30" s="1302" t="s">
        <v>484</v>
      </c>
      <c r="D30" s="1302"/>
      <c r="E30" s="845"/>
      <c r="F30" s="846">
        <v>229308</v>
      </c>
      <c r="G30" s="846">
        <v>229308</v>
      </c>
      <c r="H30" s="846">
        <v>229308</v>
      </c>
      <c r="I30" s="846"/>
      <c r="J30" s="846"/>
      <c r="K30" s="847"/>
      <c r="L30" s="858">
        <f t="shared" si="17"/>
        <v>0</v>
      </c>
      <c r="M30" s="844">
        <f t="shared" si="17"/>
        <v>229308</v>
      </c>
      <c r="N30" s="844">
        <f t="shared" si="17"/>
        <v>229308</v>
      </c>
      <c r="O30" s="844">
        <f t="shared" si="17"/>
        <v>229308</v>
      </c>
      <c r="P30" s="898">
        <f t="shared" si="15"/>
        <v>0</v>
      </c>
      <c r="Q30" s="844">
        <f>J30-X30</f>
        <v>0</v>
      </c>
      <c r="R30" s="867">
        <v>2</v>
      </c>
      <c r="S30" s="845">
        <v>0</v>
      </c>
      <c r="T30" s="846">
        <v>0</v>
      </c>
      <c r="U30" s="846">
        <v>0</v>
      </c>
      <c r="V30" s="846">
        <v>0</v>
      </c>
      <c r="W30" s="846">
        <v>0</v>
      </c>
      <c r="X30" s="846"/>
      <c r="Y30" s="642"/>
    </row>
    <row r="31" spans="1:25" ht="21.75" customHeight="1">
      <c r="A31" s="912"/>
      <c r="B31" s="69" t="s">
        <v>294</v>
      </c>
      <c r="C31" s="1302" t="s">
        <v>295</v>
      </c>
      <c r="D31" s="1302"/>
      <c r="E31" s="845">
        <v>100000</v>
      </c>
      <c r="F31" s="846">
        <v>100000</v>
      </c>
      <c r="G31" s="846">
        <v>100000</v>
      </c>
      <c r="H31" s="846">
        <v>100000</v>
      </c>
      <c r="I31" s="846"/>
      <c r="J31" s="846"/>
      <c r="K31" s="899"/>
      <c r="L31" s="858">
        <f aca="true" t="shared" si="18" ref="L31:O32">E31</f>
        <v>100000</v>
      </c>
      <c r="M31" s="844">
        <f t="shared" si="18"/>
        <v>100000</v>
      </c>
      <c r="N31" s="844">
        <f t="shared" si="18"/>
        <v>100000</v>
      </c>
      <c r="O31" s="844">
        <f t="shared" si="18"/>
        <v>100000</v>
      </c>
      <c r="P31" s="898">
        <f t="shared" si="15"/>
        <v>0</v>
      </c>
      <c r="Q31" s="844">
        <f>J31</f>
        <v>0</v>
      </c>
      <c r="R31" s="865">
        <f>K31</f>
        <v>0</v>
      </c>
      <c r="S31" s="845">
        <v>0</v>
      </c>
      <c r="T31" s="846">
        <v>0</v>
      </c>
      <c r="U31" s="846">
        <v>0</v>
      </c>
      <c r="V31" s="846">
        <v>0</v>
      </c>
      <c r="W31" s="846">
        <v>0</v>
      </c>
      <c r="X31" s="846"/>
      <c r="Y31" s="642"/>
    </row>
    <row r="32" spans="1:25" ht="21.75" customHeight="1" thickBot="1">
      <c r="A32" s="912"/>
      <c r="B32" s="69" t="s">
        <v>66</v>
      </c>
      <c r="C32" s="1301" t="s">
        <v>67</v>
      </c>
      <c r="D32" s="1301"/>
      <c r="E32" s="845">
        <v>22140821</v>
      </c>
      <c r="F32" s="846">
        <v>10275770</v>
      </c>
      <c r="G32" s="846">
        <v>5875591</v>
      </c>
      <c r="H32" s="846">
        <v>927814</v>
      </c>
      <c r="I32" s="846"/>
      <c r="J32" s="846"/>
      <c r="K32" s="899"/>
      <c r="L32" s="858">
        <f t="shared" si="18"/>
        <v>22140821</v>
      </c>
      <c r="M32" s="844">
        <f t="shared" si="18"/>
        <v>10275770</v>
      </c>
      <c r="N32" s="844">
        <f t="shared" si="18"/>
        <v>5875591</v>
      </c>
      <c r="O32" s="844">
        <f t="shared" si="18"/>
        <v>927814</v>
      </c>
      <c r="P32" s="898">
        <f t="shared" si="15"/>
        <v>0</v>
      </c>
      <c r="Q32" s="844">
        <f>J32</f>
        <v>0</v>
      </c>
      <c r="R32" s="865">
        <f>K32</f>
        <v>0</v>
      </c>
      <c r="S32" s="845">
        <v>0</v>
      </c>
      <c r="T32" s="846">
        <v>0</v>
      </c>
      <c r="U32" s="846">
        <v>0</v>
      </c>
      <c r="V32" s="846">
        <v>0</v>
      </c>
      <c r="W32" s="846">
        <v>0</v>
      </c>
      <c r="X32" s="846"/>
      <c r="Y32" s="642"/>
    </row>
    <row r="33" spans="1:25" ht="21.75" customHeight="1" thickBot="1">
      <c r="A33" s="913" t="s">
        <v>9</v>
      </c>
      <c r="B33" s="1296" t="s">
        <v>296</v>
      </c>
      <c r="C33" s="1296"/>
      <c r="D33" s="1296"/>
      <c r="E33" s="301">
        <f aca="true" t="shared" si="19" ref="E33:J33">SUM(E34:E38)</f>
        <v>326093376</v>
      </c>
      <c r="F33" s="74">
        <f>SUM(F34:F38)</f>
        <v>337958427</v>
      </c>
      <c r="G33" s="74">
        <f>SUM(G34:G38)</f>
        <v>356929703</v>
      </c>
      <c r="H33" s="74">
        <f>SUM(H34:H38)</f>
        <v>363160225</v>
      </c>
      <c r="I33" s="74">
        <f t="shared" si="19"/>
        <v>0</v>
      </c>
      <c r="J33" s="74">
        <f t="shared" si="19"/>
        <v>0</v>
      </c>
      <c r="K33" s="890" t="e">
        <f>J33/I33</f>
        <v>#DIV/0!</v>
      </c>
      <c r="L33" s="301">
        <f aca="true" t="shared" si="20" ref="L33:S33">SUM(L34:L38)</f>
        <v>321280777</v>
      </c>
      <c r="M33" s="74">
        <f>SUM(M34:M38)</f>
        <v>333145828</v>
      </c>
      <c r="N33" s="74">
        <f>SUM(N34:N38)</f>
        <v>352117104</v>
      </c>
      <c r="O33" s="74">
        <f>SUM(O34:O38)</f>
        <v>358347625</v>
      </c>
      <c r="P33" s="74">
        <f t="shared" si="20"/>
        <v>0</v>
      </c>
      <c r="Q33" s="74">
        <f t="shared" si="20"/>
        <v>0</v>
      </c>
      <c r="R33" s="728">
        <f t="shared" si="20"/>
        <v>2</v>
      </c>
      <c r="S33" s="301">
        <f t="shared" si="20"/>
        <v>4812599</v>
      </c>
      <c r="T33" s="74">
        <f>SUM(T34:T38)</f>
        <v>4812599</v>
      </c>
      <c r="U33" s="74">
        <f>SUM(U34:U38)</f>
        <v>4812599</v>
      </c>
      <c r="V33" s="74">
        <f>SUM(V34:V38)</f>
        <v>4812600</v>
      </c>
      <c r="W33" s="74">
        <v>0</v>
      </c>
      <c r="X33" s="74"/>
      <c r="Y33" s="657"/>
    </row>
    <row r="34" spans="1:27" ht="21.75" customHeight="1">
      <c r="A34" s="909"/>
      <c r="B34" s="69" t="s">
        <v>40</v>
      </c>
      <c r="C34" s="1374" t="s">
        <v>297</v>
      </c>
      <c r="D34" s="1374"/>
      <c r="E34" s="850">
        <v>294726379</v>
      </c>
      <c r="F34" s="851">
        <f>91465304+47989850+144380866+19151279+3604131</f>
        <v>306591430</v>
      </c>
      <c r="G34" s="851">
        <f>92284228+51309920+156788625+18485371+4896946</f>
        <v>323765090</v>
      </c>
      <c r="H34" s="851">
        <f>92655358+52389470+159496227+18722905+5101150</f>
        <v>328365110</v>
      </c>
      <c r="I34" s="851"/>
      <c r="J34" s="851"/>
      <c r="K34" s="899"/>
      <c r="L34" s="858">
        <f aca="true" t="shared" si="21" ref="L34:O35">E34</f>
        <v>294726379</v>
      </c>
      <c r="M34" s="844">
        <f t="shared" si="21"/>
        <v>306591430</v>
      </c>
      <c r="N34" s="844">
        <f t="shared" si="21"/>
        <v>323765090</v>
      </c>
      <c r="O34" s="844">
        <f t="shared" si="21"/>
        <v>328365110</v>
      </c>
      <c r="P34" s="898">
        <f>I34-W34</f>
        <v>0</v>
      </c>
      <c r="Q34" s="844">
        <f>J34</f>
        <v>0</v>
      </c>
      <c r="R34" s="865">
        <f>K34</f>
        <v>0</v>
      </c>
      <c r="S34" s="850">
        <v>0</v>
      </c>
      <c r="T34" s="851">
        <v>0</v>
      </c>
      <c r="U34" s="851">
        <v>0</v>
      </c>
      <c r="V34" s="851">
        <v>0</v>
      </c>
      <c r="W34" s="851">
        <v>0</v>
      </c>
      <c r="X34" s="851"/>
      <c r="Y34" s="824"/>
      <c r="AA34" s="264"/>
    </row>
    <row r="35" spans="1:25" ht="21.75" customHeight="1">
      <c r="A35" s="896"/>
      <c r="B35" s="69" t="s">
        <v>41</v>
      </c>
      <c r="C35" s="1302" t="s">
        <v>453</v>
      </c>
      <c r="D35" s="1302"/>
      <c r="E35" s="845"/>
      <c r="F35" s="846"/>
      <c r="G35" s="846"/>
      <c r="H35" s="846">
        <v>1714500</v>
      </c>
      <c r="I35" s="846"/>
      <c r="J35" s="846"/>
      <c r="K35" s="899"/>
      <c r="L35" s="858">
        <f t="shared" si="21"/>
        <v>0</v>
      </c>
      <c r="M35" s="844">
        <f t="shared" si="21"/>
        <v>0</v>
      </c>
      <c r="N35" s="844">
        <f t="shared" si="21"/>
        <v>0</v>
      </c>
      <c r="O35" s="844">
        <f t="shared" si="21"/>
        <v>1714500</v>
      </c>
      <c r="P35" s="898">
        <f>I35-W35</f>
        <v>0</v>
      </c>
      <c r="Q35" s="844">
        <f>J35</f>
        <v>0</v>
      </c>
      <c r="R35" s="865">
        <f>K35</f>
        <v>0</v>
      </c>
      <c r="S35" s="845">
        <v>0</v>
      </c>
      <c r="T35" s="846">
        <v>0</v>
      </c>
      <c r="U35" s="846">
        <v>0</v>
      </c>
      <c r="V35" s="846">
        <v>0</v>
      </c>
      <c r="W35" s="846">
        <v>0</v>
      </c>
      <c r="X35" s="846"/>
      <c r="Y35" s="642"/>
    </row>
    <row r="36" spans="1:25" ht="21.75" customHeight="1">
      <c r="A36" s="896"/>
      <c r="B36" s="69" t="s">
        <v>64</v>
      </c>
      <c r="C36" s="1302" t="s">
        <v>538</v>
      </c>
      <c r="D36" s="1302"/>
      <c r="E36" s="845"/>
      <c r="F36" s="846"/>
      <c r="G36" s="846">
        <v>622616</v>
      </c>
      <c r="H36" s="846">
        <v>622616</v>
      </c>
      <c r="I36" s="846">
        <v>0</v>
      </c>
      <c r="J36" s="846">
        <v>0</v>
      </c>
      <c r="K36" s="899"/>
      <c r="L36" s="845">
        <v>0</v>
      </c>
      <c r="M36" s="846">
        <v>0</v>
      </c>
      <c r="N36" s="846">
        <f>+G36-U36</f>
        <v>622616</v>
      </c>
      <c r="O36" s="846">
        <f>+H36-V36</f>
        <v>622616</v>
      </c>
      <c r="P36" s="846">
        <v>0</v>
      </c>
      <c r="Q36" s="846">
        <v>0</v>
      </c>
      <c r="R36" s="867">
        <v>0</v>
      </c>
      <c r="S36" s="845">
        <v>0</v>
      </c>
      <c r="T36" s="846">
        <v>0</v>
      </c>
      <c r="U36" s="846">
        <v>0</v>
      </c>
      <c r="V36" s="846">
        <v>0</v>
      </c>
      <c r="W36" s="846">
        <v>0</v>
      </c>
      <c r="X36" s="846"/>
      <c r="Y36" s="642"/>
    </row>
    <row r="37" spans="1:25" ht="21.75" customHeight="1">
      <c r="A37" s="896"/>
      <c r="B37" s="69" t="s">
        <v>65</v>
      </c>
      <c r="C37" s="1302" t="s">
        <v>337</v>
      </c>
      <c r="D37" s="1302"/>
      <c r="E37" s="845"/>
      <c r="F37" s="846"/>
      <c r="G37" s="846"/>
      <c r="H37" s="846"/>
      <c r="I37" s="846">
        <v>0</v>
      </c>
      <c r="J37" s="846">
        <v>0</v>
      </c>
      <c r="K37" s="847"/>
      <c r="L37" s="845">
        <v>0</v>
      </c>
      <c r="M37" s="846">
        <v>0</v>
      </c>
      <c r="N37" s="846">
        <v>0</v>
      </c>
      <c r="O37" s="846">
        <v>0</v>
      </c>
      <c r="P37" s="846">
        <v>0</v>
      </c>
      <c r="Q37" s="846">
        <v>0</v>
      </c>
      <c r="R37" s="867">
        <v>0</v>
      </c>
      <c r="S37" s="845">
        <v>0</v>
      </c>
      <c r="T37" s="846">
        <v>0</v>
      </c>
      <c r="U37" s="846">
        <v>0</v>
      </c>
      <c r="V37" s="846">
        <v>0</v>
      </c>
      <c r="W37" s="846">
        <v>0</v>
      </c>
      <c r="X37" s="846"/>
      <c r="Y37" s="642"/>
    </row>
    <row r="38" spans="1:25" ht="21.75" customHeight="1">
      <c r="A38" s="896"/>
      <c r="B38" s="69" t="s">
        <v>333</v>
      </c>
      <c r="C38" s="1302" t="s">
        <v>298</v>
      </c>
      <c r="D38" s="1302"/>
      <c r="E38" s="309">
        <f aca="true" t="shared" si="22" ref="E38:J38">SUM(E39:E41)</f>
        <v>31366997</v>
      </c>
      <c r="F38" s="238">
        <f>SUM(F39:F41)</f>
        <v>31366997</v>
      </c>
      <c r="G38" s="238">
        <f>SUM(G39:G41)</f>
        <v>32541997</v>
      </c>
      <c r="H38" s="238">
        <f>SUM(H39:H41)</f>
        <v>32457999</v>
      </c>
      <c r="I38" s="238">
        <f t="shared" si="22"/>
        <v>0</v>
      </c>
      <c r="J38" s="238">
        <f t="shared" si="22"/>
        <v>0</v>
      </c>
      <c r="K38" s="654" t="e">
        <f>J38/I38</f>
        <v>#DIV/0!</v>
      </c>
      <c r="L38" s="309">
        <f aca="true" t="shared" si="23" ref="L38:S38">SUM(L39:L41)</f>
        <v>26554398</v>
      </c>
      <c r="M38" s="238">
        <f>SUM(M39:M41)</f>
        <v>26554398</v>
      </c>
      <c r="N38" s="238">
        <f>SUM(N39:N41)</f>
        <v>27729398</v>
      </c>
      <c r="O38" s="238">
        <f>SUM(O39:O41)</f>
        <v>27645399</v>
      </c>
      <c r="P38" s="238">
        <f t="shared" si="23"/>
        <v>0</v>
      </c>
      <c r="Q38" s="238">
        <f t="shared" si="23"/>
        <v>0</v>
      </c>
      <c r="R38" s="866">
        <f t="shared" si="23"/>
        <v>2</v>
      </c>
      <c r="S38" s="309">
        <f t="shared" si="23"/>
        <v>4812599</v>
      </c>
      <c r="T38" s="238">
        <f>SUM(T39:T41)</f>
        <v>4812599</v>
      </c>
      <c r="U38" s="238">
        <f>SUM(U39:U41)</f>
        <v>4812599</v>
      </c>
      <c r="V38" s="238">
        <f>SUM(V39:V41)</f>
        <v>4812600</v>
      </c>
      <c r="W38" s="238">
        <v>0</v>
      </c>
      <c r="X38" s="238"/>
      <c r="Y38" s="642"/>
    </row>
    <row r="39" spans="1:25" ht="21.75" customHeight="1">
      <c r="A39" s="896"/>
      <c r="B39" s="69"/>
      <c r="C39" s="66" t="s">
        <v>334</v>
      </c>
      <c r="D39" s="531" t="s">
        <v>31</v>
      </c>
      <c r="E39" s="845">
        <v>12222000</v>
      </c>
      <c r="F39" s="846">
        <v>12222000</v>
      </c>
      <c r="G39" s="846">
        <f>12222000+1175000</f>
        <v>13397000</v>
      </c>
      <c r="H39" s="846">
        <f>14526100+187200</f>
        <v>14713300</v>
      </c>
      <c r="I39" s="846"/>
      <c r="J39" s="846"/>
      <c r="K39" s="899"/>
      <c r="L39" s="858">
        <f>E39</f>
        <v>12222000</v>
      </c>
      <c r="M39" s="844">
        <f>F39</f>
        <v>12222000</v>
      </c>
      <c r="N39" s="844">
        <f>G39</f>
        <v>13397000</v>
      </c>
      <c r="O39" s="844">
        <f>H39</f>
        <v>14713300</v>
      </c>
      <c r="P39" s="898">
        <f>I39-W39</f>
        <v>0</v>
      </c>
      <c r="Q39" s="844">
        <f>J39</f>
        <v>0</v>
      </c>
      <c r="R39" s="865">
        <f>K39</f>
        <v>0</v>
      </c>
      <c r="S39" s="845">
        <v>0</v>
      </c>
      <c r="T39" s="846">
        <v>0</v>
      </c>
      <c r="U39" s="846">
        <v>0</v>
      </c>
      <c r="V39" s="846">
        <v>0</v>
      </c>
      <c r="W39" s="846">
        <v>0</v>
      </c>
      <c r="X39" s="846"/>
      <c r="Y39" s="642"/>
    </row>
    <row r="40" spans="1:28" ht="21.75" customHeight="1">
      <c r="A40" s="896"/>
      <c r="B40" s="69"/>
      <c r="C40" s="60" t="s">
        <v>335</v>
      </c>
      <c r="D40" s="270" t="s">
        <v>30</v>
      </c>
      <c r="E40" s="845">
        <v>11010599</v>
      </c>
      <c r="F40" s="846">
        <v>11010599</v>
      </c>
      <c r="G40" s="846">
        <v>11010599</v>
      </c>
      <c r="H40" s="846">
        <f>4812600+6198000</f>
        <v>11010600</v>
      </c>
      <c r="I40" s="846"/>
      <c r="J40" s="846"/>
      <c r="K40" s="847"/>
      <c r="L40" s="858">
        <f>E40-S40</f>
        <v>6198000</v>
      </c>
      <c r="M40" s="844">
        <f>F40-T40</f>
        <v>6198000</v>
      </c>
      <c r="N40" s="844">
        <f>G40-U40</f>
        <v>6198000</v>
      </c>
      <c r="O40" s="844">
        <f>H40-V40</f>
        <v>6198000</v>
      </c>
      <c r="P40" s="898">
        <f>I40-W40</f>
        <v>0</v>
      </c>
      <c r="Q40" s="844">
        <f>J40-X40</f>
        <v>0</v>
      </c>
      <c r="R40" s="867">
        <v>2</v>
      </c>
      <c r="S40" s="845">
        <v>4812599</v>
      </c>
      <c r="T40" s="846">
        <v>4812599</v>
      </c>
      <c r="U40" s="846">
        <v>4812599</v>
      </c>
      <c r="V40" s="846">
        <v>4812600</v>
      </c>
      <c r="W40" s="846">
        <v>0</v>
      </c>
      <c r="X40" s="846"/>
      <c r="Y40" s="642"/>
      <c r="AB40" s="846"/>
    </row>
    <row r="41" spans="1:25" ht="21.75" customHeight="1" thickBot="1">
      <c r="A41" s="896"/>
      <c r="B41" s="69"/>
      <c r="C41" s="60" t="s">
        <v>336</v>
      </c>
      <c r="D41" s="270" t="s">
        <v>32</v>
      </c>
      <c r="E41" s="848">
        <v>8134398</v>
      </c>
      <c r="F41" s="849">
        <v>8134398</v>
      </c>
      <c r="G41" s="849">
        <v>8134398</v>
      </c>
      <c r="H41" s="849">
        <f>1545955+4993700+194444</f>
        <v>6734099</v>
      </c>
      <c r="I41" s="849"/>
      <c r="J41" s="849"/>
      <c r="K41" s="899"/>
      <c r="L41" s="858">
        <f>E41</f>
        <v>8134398</v>
      </c>
      <c r="M41" s="844">
        <f>F41</f>
        <v>8134398</v>
      </c>
      <c r="N41" s="844">
        <f>G41</f>
        <v>8134398</v>
      </c>
      <c r="O41" s="844">
        <f>H41</f>
        <v>6734099</v>
      </c>
      <c r="P41" s="898">
        <f>I41-W41</f>
        <v>0</v>
      </c>
      <c r="Q41" s="844">
        <f>J41</f>
        <v>0</v>
      </c>
      <c r="R41" s="865">
        <f>K41</f>
        <v>0</v>
      </c>
      <c r="S41" s="848">
        <v>0</v>
      </c>
      <c r="T41" s="849">
        <v>0</v>
      </c>
      <c r="U41" s="849">
        <v>0</v>
      </c>
      <c r="V41" s="849">
        <v>0</v>
      </c>
      <c r="W41" s="849">
        <v>0</v>
      </c>
      <c r="X41" s="849"/>
      <c r="Y41" s="643"/>
    </row>
    <row r="42" spans="1:25" ht="21.75" customHeight="1" thickBot="1">
      <c r="A42" s="913" t="s">
        <v>10</v>
      </c>
      <c r="B42" s="1296" t="s">
        <v>299</v>
      </c>
      <c r="C42" s="1296"/>
      <c r="D42" s="1296"/>
      <c r="E42" s="301">
        <f>SUM(E43:E44)</f>
        <v>1074492</v>
      </c>
      <c r="F42" s="74">
        <f>SUM(F43:F44)</f>
        <v>1074492</v>
      </c>
      <c r="G42" s="74">
        <f>SUM(G43:G44)</f>
        <v>8516873</v>
      </c>
      <c r="H42" s="74">
        <f>SUM(H43:H44)</f>
        <v>46404339</v>
      </c>
      <c r="I42" s="74">
        <f>SUM(I43:I44)</f>
        <v>164800474</v>
      </c>
      <c r="J42" s="74">
        <f>J43+J44+J48</f>
        <v>0</v>
      </c>
      <c r="K42" s="890">
        <f>J42/I42</f>
        <v>0</v>
      </c>
      <c r="L42" s="301">
        <f>L43+L44+L48</f>
        <v>1074492</v>
      </c>
      <c r="M42" s="74">
        <f>M43+M44+M48</f>
        <v>1074492</v>
      </c>
      <c r="N42" s="74">
        <f>N43+N44+N48</f>
        <v>8516873</v>
      </c>
      <c r="O42" s="74">
        <f>O43+O44+O48</f>
        <v>46404339</v>
      </c>
      <c r="P42" s="74">
        <f>SUM(P43:P44)</f>
        <v>164800474</v>
      </c>
      <c r="Q42" s="74">
        <f>Q43+Q44+Q48</f>
        <v>0</v>
      </c>
      <c r="R42" s="728">
        <f>R43+R44+R48</f>
        <v>6000002</v>
      </c>
      <c r="S42" s="301">
        <f>SUM(S43:S44)</f>
        <v>0</v>
      </c>
      <c r="T42" s="74">
        <f>SUM(T43:T44)</f>
        <v>0</v>
      </c>
      <c r="U42" s="74">
        <f>SUM(U43:U44)</f>
        <v>0</v>
      </c>
      <c r="V42" s="74">
        <f>SUM(V43:V44)</f>
        <v>0</v>
      </c>
      <c r="W42" s="74">
        <f>SUM(W43:W44)</f>
        <v>0</v>
      </c>
      <c r="X42" s="74">
        <f>X43+X44+X48</f>
        <v>0</v>
      </c>
      <c r="Y42" s="657"/>
    </row>
    <row r="43" spans="1:25" ht="21.75" customHeight="1">
      <c r="A43" s="909"/>
      <c r="B43" s="914" t="s">
        <v>300</v>
      </c>
      <c r="C43" s="1310" t="s">
        <v>302</v>
      </c>
      <c r="D43" s="1310"/>
      <c r="E43" s="854"/>
      <c r="F43" s="852"/>
      <c r="G43" s="852"/>
      <c r="H43" s="852">
        <v>2887467</v>
      </c>
      <c r="I43" s="852"/>
      <c r="J43" s="852"/>
      <c r="K43" s="853"/>
      <c r="L43" s="858">
        <f aca="true" t="shared" si="24" ref="L43:Q43">E43-S43</f>
        <v>0</v>
      </c>
      <c r="M43" s="844">
        <f t="shared" si="24"/>
        <v>0</v>
      </c>
      <c r="N43" s="844">
        <f t="shared" si="24"/>
        <v>0</v>
      </c>
      <c r="O43" s="844">
        <f t="shared" si="24"/>
        <v>2887467</v>
      </c>
      <c r="P43" s="898">
        <f t="shared" si="24"/>
        <v>0</v>
      </c>
      <c r="Q43" s="844">
        <f t="shared" si="24"/>
        <v>0</v>
      </c>
      <c r="R43" s="868">
        <v>2</v>
      </c>
      <c r="S43" s="854">
        <v>0</v>
      </c>
      <c r="T43" s="852">
        <v>0</v>
      </c>
      <c r="U43" s="852">
        <v>0</v>
      </c>
      <c r="V43" s="852">
        <v>0</v>
      </c>
      <c r="W43" s="852">
        <v>0</v>
      </c>
      <c r="X43" s="852"/>
      <c r="Y43" s="661"/>
    </row>
    <row r="44" spans="1:25" ht="21.75" customHeight="1">
      <c r="A44" s="896"/>
      <c r="B44" s="915" t="s">
        <v>301</v>
      </c>
      <c r="C44" s="1302" t="s">
        <v>303</v>
      </c>
      <c r="D44" s="1302"/>
      <c r="E44" s="309">
        <f aca="true" t="shared" si="25" ref="E44:J44">SUM(E45:E47)</f>
        <v>1074492</v>
      </c>
      <c r="F44" s="238">
        <f>SUM(F45:F47)</f>
        <v>1074492</v>
      </c>
      <c r="G44" s="238">
        <f>SUM(G45:G47)</f>
        <v>8516873</v>
      </c>
      <c r="H44" s="238">
        <f>SUM(H45:H47)</f>
        <v>43516872</v>
      </c>
      <c r="I44" s="238">
        <f t="shared" si="25"/>
        <v>164800474</v>
      </c>
      <c r="J44" s="238">
        <f t="shared" si="25"/>
        <v>0</v>
      </c>
      <c r="K44" s="654">
        <f>J44/I44</f>
        <v>0</v>
      </c>
      <c r="L44" s="309">
        <f aca="true" t="shared" si="26" ref="L44:Q44">SUM(L45:L47)</f>
        <v>1074492</v>
      </c>
      <c r="M44" s="238">
        <f>SUM(M45:M47)</f>
        <v>1074492</v>
      </c>
      <c r="N44" s="238">
        <f>SUM(N45:N47)</f>
        <v>8516873</v>
      </c>
      <c r="O44" s="238">
        <f>SUM(O45:O47)</f>
        <v>43516872</v>
      </c>
      <c r="P44" s="238">
        <f t="shared" si="26"/>
        <v>164800474</v>
      </c>
      <c r="Q44" s="238">
        <f t="shared" si="26"/>
        <v>0</v>
      </c>
      <c r="R44" s="866">
        <f aca="true" t="shared" si="27" ref="R44:X44">SUM(R45:R47)</f>
        <v>6000000</v>
      </c>
      <c r="S44" s="309">
        <f t="shared" si="27"/>
        <v>0</v>
      </c>
      <c r="T44" s="238">
        <f>SUM(T45:T47)</f>
        <v>0</v>
      </c>
      <c r="U44" s="238">
        <f>SUM(U45:U47)</f>
        <v>0</v>
      </c>
      <c r="V44" s="238">
        <f>SUM(V45:V47)</f>
        <v>0</v>
      </c>
      <c r="W44" s="238">
        <f>SUM(W45:W47)</f>
        <v>0</v>
      </c>
      <c r="X44" s="238">
        <f t="shared" si="27"/>
        <v>0</v>
      </c>
      <c r="Y44" s="642"/>
    </row>
    <row r="45" spans="1:25" ht="21.75" customHeight="1">
      <c r="A45" s="896"/>
      <c r="B45" s="914"/>
      <c r="C45" s="66" t="s">
        <v>304</v>
      </c>
      <c r="D45" s="531" t="s">
        <v>31</v>
      </c>
      <c r="E45" s="845">
        <v>0</v>
      </c>
      <c r="F45" s="846">
        <v>0</v>
      </c>
      <c r="G45" s="846">
        <v>0</v>
      </c>
      <c r="H45" s="846">
        <v>0</v>
      </c>
      <c r="I45" s="846">
        <v>0</v>
      </c>
      <c r="J45" s="846">
        <v>0</v>
      </c>
      <c r="K45" s="847"/>
      <c r="L45" s="845"/>
      <c r="M45" s="846"/>
      <c r="N45" s="846"/>
      <c r="O45" s="846"/>
      <c r="P45" s="846">
        <v>0</v>
      </c>
      <c r="Q45" s="846"/>
      <c r="R45" s="867">
        <v>0</v>
      </c>
      <c r="S45" s="845">
        <v>0</v>
      </c>
      <c r="T45" s="846">
        <v>0</v>
      </c>
      <c r="U45" s="846">
        <v>0</v>
      </c>
      <c r="V45" s="846">
        <v>0</v>
      </c>
      <c r="W45" s="846">
        <v>0</v>
      </c>
      <c r="X45" s="846"/>
      <c r="Y45" s="642"/>
    </row>
    <row r="46" spans="1:25" ht="21.75" customHeight="1">
      <c r="A46" s="896"/>
      <c r="B46" s="915"/>
      <c r="C46" s="60" t="s">
        <v>305</v>
      </c>
      <c r="D46" s="531" t="s">
        <v>30</v>
      </c>
      <c r="E46" s="845">
        <v>1074492</v>
      </c>
      <c r="F46" s="846">
        <v>1074492</v>
      </c>
      <c r="G46" s="846">
        <v>1074492</v>
      </c>
      <c r="H46" s="846">
        <v>1074492</v>
      </c>
      <c r="I46" s="846">
        <f>-3844000+168644474</f>
        <v>164800474</v>
      </c>
      <c r="J46" s="846"/>
      <c r="K46" s="899"/>
      <c r="L46" s="858">
        <f aca="true" t="shared" si="28" ref="L46:Q46">E46-S46</f>
        <v>1074492</v>
      </c>
      <c r="M46" s="844">
        <f t="shared" si="28"/>
        <v>1074492</v>
      </c>
      <c r="N46" s="844">
        <f t="shared" si="28"/>
        <v>1074492</v>
      </c>
      <c r="O46" s="844">
        <f t="shared" si="28"/>
        <v>1074492</v>
      </c>
      <c r="P46" s="898">
        <f t="shared" si="28"/>
        <v>164800474</v>
      </c>
      <c r="Q46" s="844">
        <f t="shared" si="28"/>
        <v>0</v>
      </c>
      <c r="R46" s="867">
        <v>0</v>
      </c>
      <c r="S46" s="845">
        <v>0</v>
      </c>
      <c r="T46" s="846">
        <v>0</v>
      </c>
      <c r="U46" s="846">
        <v>0</v>
      </c>
      <c r="V46" s="846">
        <v>0</v>
      </c>
      <c r="W46" s="846">
        <v>0</v>
      </c>
      <c r="X46" s="846"/>
      <c r="Y46" s="642"/>
    </row>
    <row r="47" spans="1:25" ht="21.75" customHeight="1">
      <c r="A47" s="912"/>
      <c r="B47" s="914"/>
      <c r="C47" s="66" t="s">
        <v>306</v>
      </c>
      <c r="D47" s="531" t="s">
        <v>307</v>
      </c>
      <c r="E47" s="845"/>
      <c r="F47" s="846"/>
      <c r="G47" s="846">
        <v>7442381</v>
      </c>
      <c r="H47" s="846">
        <v>42442380</v>
      </c>
      <c r="I47" s="846"/>
      <c r="J47" s="846"/>
      <c r="K47" s="899"/>
      <c r="L47" s="845"/>
      <c r="M47" s="846"/>
      <c r="N47" s="846">
        <f>+G47-U47</f>
        <v>7442381</v>
      </c>
      <c r="O47" s="846">
        <f>+H47-V47</f>
        <v>42442380</v>
      </c>
      <c r="P47" s="898">
        <f>I47-W47</f>
        <v>0</v>
      </c>
      <c r="Q47" s="846"/>
      <c r="R47" s="867">
        <v>6000000</v>
      </c>
      <c r="S47" s="845">
        <v>0</v>
      </c>
      <c r="T47" s="846">
        <v>0</v>
      </c>
      <c r="U47" s="846">
        <v>0</v>
      </c>
      <c r="V47" s="846">
        <v>0</v>
      </c>
      <c r="W47" s="846">
        <v>0</v>
      </c>
      <c r="X47" s="846"/>
      <c r="Y47" s="642"/>
    </row>
    <row r="48" spans="1:25" ht="21.75" customHeight="1" thickBot="1">
      <c r="A48" s="916"/>
      <c r="B48" s="915" t="s">
        <v>330</v>
      </c>
      <c r="C48" s="1302" t="s">
        <v>450</v>
      </c>
      <c r="D48" s="1302"/>
      <c r="E48" s="845">
        <v>0</v>
      </c>
      <c r="F48" s="846">
        <v>0</v>
      </c>
      <c r="G48" s="846">
        <v>0</v>
      </c>
      <c r="H48" s="846">
        <v>0</v>
      </c>
      <c r="I48" s="846">
        <v>0</v>
      </c>
      <c r="J48" s="846"/>
      <c r="K48" s="847"/>
      <c r="L48" s="858"/>
      <c r="M48" s="844"/>
      <c r="N48" s="844"/>
      <c r="O48" s="844"/>
      <c r="P48" s="846">
        <v>0</v>
      </c>
      <c r="Q48" s="844"/>
      <c r="R48" s="865">
        <f>K48-Y48</f>
        <v>0</v>
      </c>
      <c r="S48" s="845">
        <v>0</v>
      </c>
      <c r="T48" s="846">
        <v>0</v>
      </c>
      <c r="U48" s="846">
        <v>0</v>
      </c>
      <c r="V48" s="846">
        <v>0</v>
      </c>
      <c r="W48" s="846">
        <v>0</v>
      </c>
      <c r="X48" s="846">
        <f>J48</f>
        <v>0</v>
      </c>
      <c r="Y48" s="642"/>
    </row>
    <row r="49" spans="1:25" ht="21.75" customHeight="1" hidden="1" thickBot="1">
      <c r="A49" s="916"/>
      <c r="B49" s="914"/>
      <c r="C49" s="1319"/>
      <c r="D49" s="1319"/>
      <c r="E49" s="474"/>
      <c r="F49" s="475"/>
      <c r="G49" s="475"/>
      <c r="H49" s="475"/>
      <c r="I49" s="475"/>
      <c r="J49" s="475"/>
      <c r="K49" s="643" t="e">
        <f>I49/H49</f>
        <v>#DIV/0!</v>
      </c>
      <c r="L49" s="474"/>
      <c r="M49" s="475"/>
      <c r="N49" s="475"/>
      <c r="O49" s="475"/>
      <c r="P49" s="475"/>
      <c r="Q49" s="475"/>
      <c r="R49" s="869"/>
      <c r="S49" s="474"/>
      <c r="T49" s="475"/>
      <c r="U49" s="475"/>
      <c r="V49" s="475"/>
      <c r="W49" s="475"/>
      <c r="X49" s="475"/>
      <c r="Y49" s="643"/>
    </row>
    <row r="50" spans="1:25" ht="21.75" customHeight="1" thickBot="1">
      <c r="A50" s="913" t="s">
        <v>11</v>
      </c>
      <c r="B50" s="1296" t="s">
        <v>71</v>
      </c>
      <c r="C50" s="1296"/>
      <c r="D50" s="1296"/>
      <c r="E50" s="301">
        <f aca="true" t="shared" si="29" ref="E50:J50">E51+E52</f>
        <v>360000</v>
      </c>
      <c r="F50" s="74">
        <f>F51+F52</f>
        <v>360000</v>
      </c>
      <c r="G50" s="74">
        <f>G51+G52</f>
        <v>360000</v>
      </c>
      <c r="H50" s="74">
        <f>H51+H52</f>
        <v>360000</v>
      </c>
      <c r="I50" s="74">
        <f t="shared" si="29"/>
        <v>460000</v>
      </c>
      <c r="J50" s="74">
        <f t="shared" si="29"/>
        <v>0</v>
      </c>
      <c r="K50" s="890">
        <f>J50/I50</f>
        <v>0</v>
      </c>
      <c r="L50" s="301">
        <f>L51+L52</f>
        <v>360000</v>
      </c>
      <c r="M50" s="74">
        <f>M51+M52</f>
        <v>360000</v>
      </c>
      <c r="N50" s="74">
        <f>N51+N52</f>
        <v>360000</v>
      </c>
      <c r="O50" s="74">
        <f>O51+O52</f>
        <v>360000</v>
      </c>
      <c r="P50" s="74">
        <f>P51+P52</f>
        <v>460000</v>
      </c>
      <c r="Q50" s="74">
        <f aca="true" t="shared" si="30" ref="Q50:X50">Q51+Q52</f>
        <v>0</v>
      </c>
      <c r="R50" s="728">
        <f t="shared" si="30"/>
        <v>0</v>
      </c>
      <c r="S50" s="301">
        <f t="shared" si="30"/>
        <v>0</v>
      </c>
      <c r="T50" s="74">
        <f>T51+T52</f>
        <v>0</v>
      </c>
      <c r="U50" s="74">
        <f>U51+U52</f>
        <v>0</v>
      </c>
      <c r="V50" s="74">
        <f>V51+V52</f>
        <v>0</v>
      </c>
      <c r="W50" s="74">
        <f>W51+W52</f>
        <v>0</v>
      </c>
      <c r="X50" s="74">
        <f t="shared" si="30"/>
        <v>0</v>
      </c>
      <c r="Y50" s="657"/>
    </row>
    <row r="51" spans="1:25" s="918" customFormat="1" ht="21.75" customHeight="1">
      <c r="A51" s="917"/>
      <c r="B51" s="914" t="s">
        <v>42</v>
      </c>
      <c r="C51" s="1310" t="s">
        <v>319</v>
      </c>
      <c r="D51" s="1310"/>
      <c r="E51" s="854">
        <v>60000</v>
      </c>
      <c r="F51" s="852">
        <v>60000</v>
      </c>
      <c r="G51" s="852">
        <v>60000</v>
      </c>
      <c r="H51" s="852">
        <v>60000</v>
      </c>
      <c r="I51" s="852">
        <f>60000+200000</f>
        <v>260000</v>
      </c>
      <c r="J51" s="852"/>
      <c r="K51" s="899"/>
      <c r="L51" s="858">
        <f aca="true" t="shared" si="31" ref="L51:O52">E51</f>
        <v>60000</v>
      </c>
      <c r="M51" s="844">
        <f t="shared" si="31"/>
        <v>60000</v>
      </c>
      <c r="N51" s="844">
        <f t="shared" si="31"/>
        <v>60000</v>
      </c>
      <c r="O51" s="844">
        <f t="shared" si="31"/>
        <v>60000</v>
      </c>
      <c r="P51" s="898">
        <f>I51-W51</f>
        <v>260000</v>
      </c>
      <c r="Q51" s="844">
        <f>J51</f>
        <v>0</v>
      </c>
      <c r="R51" s="865">
        <f>K51</f>
        <v>0</v>
      </c>
      <c r="S51" s="854">
        <v>0</v>
      </c>
      <c r="T51" s="852">
        <v>0</v>
      </c>
      <c r="U51" s="852">
        <v>0</v>
      </c>
      <c r="V51" s="852">
        <v>0</v>
      </c>
      <c r="W51" s="852">
        <v>0</v>
      </c>
      <c r="X51" s="852"/>
      <c r="Y51" s="661"/>
    </row>
    <row r="52" spans="1:25" s="918" customFormat="1" ht="21.75" customHeight="1" thickBot="1">
      <c r="A52" s="896"/>
      <c r="B52" s="60" t="s">
        <v>43</v>
      </c>
      <c r="C52" s="1302" t="s">
        <v>436</v>
      </c>
      <c r="D52" s="1302"/>
      <c r="E52" s="855">
        <v>300000</v>
      </c>
      <c r="F52" s="856">
        <v>300000</v>
      </c>
      <c r="G52" s="856">
        <v>300000</v>
      </c>
      <c r="H52" s="856">
        <v>300000</v>
      </c>
      <c r="I52" s="856">
        <v>200000</v>
      </c>
      <c r="J52" s="856"/>
      <c r="K52" s="857"/>
      <c r="L52" s="858">
        <f t="shared" si="31"/>
        <v>300000</v>
      </c>
      <c r="M52" s="844">
        <f t="shared" si="31"/>
        <v>300000</v>
      </c>
      <c r="N52" s="844">
        <f t="shared" si="31"/>
        <v>300000</v>
      </c>
      <c r="O52" s="844">
        <f t="shared" si="31"/>
        <v>300000</v>
      </c>
      <c r="P52" s="898">
        <f>I52-W52</f>
        <v>200000</v>
      </c>
      <c r="Q52" s="844">
        <f>J52</f>
        <v>0</v>
      </c>
      <c r="R52" s="865">
        <f>K52</f>
        <v>0</v>
      </c>
      <c r="S52" s="855">
        <v>0</v>
      </c>
      <c r="T52" s="856">
        <v>0</v>
      </c>
      <c r="U52" s="856">
        <v>0</v>
      </c>
      <c r="V52" s="856">
        <v>0</v>
      </c>
      <c r="W52" s="856">
        <v>0</v>
      </c>
      <c r="X52" s="856"/>
      <c r="Y52" s="666"/>
    </row>
    <row r="53" spans="1:25" ht="21.75" customHeight="1" thickBot="1">
      <c r="A53" s="913" t="s">
        <v>12</v>
      </c>
      <c r="B53" s="1296" t="s">
        <v>308</v>
      </c>
      <c r="C53" s="1296"/>
      <c r="D53" s="1296"/>
      <c r="E53" s="296">
        <f aca="true" t="shared" si="32" ref="E53:J53">SUM(E54:E55)</f>
        <v>600000</v>
      </c>
      <c r="F53" s="239">
        <f>SUM(F54:F55)</f>
        <v>600000</v>
      </c>
      <c r="G53" s="239">
        <f>SUM(G54:G55)</f>
        <v>600000</v>
      </c>
      <c r="H53" s="239">
        <f>SUM(H54:H55)</f>
        <v>1264300</v>
      </c>
      <c r="I53" s="239">
        <f t="shared" si="32"/>
        <v>0</v>
      </c>
      <c r="J53" s="239">
        <f t="shared" si="32"/>
        <v>0</v>
      </c>
      <c r="K53" s="890" t="e">
        <f>J53/I53</f>
        <v>#DIV/0!</v>
      </c>
      <c r="L53" s="296">
        <f>SUM(L54:L55)</f>
        <v>600000</v>
      </c>
      <c r="M53" s="239">
        <f>SUM(M54:M55)</f>
        <v>600000</v>
      </c>
      <c r="N53" s="239">
        <f>SUM(N54:N55)</f>
        <v>600000</v>
      </c>
      <c r="O53" s="239">
        <f>SUM(O54:O55)</f>
        <v>1264300</v>
      </c>
      <c r="P53" s="239">
        <f>SUM(P54:P55)</f>
        <v>0</v>
      </c>
      <c r="Q53" s="239">
        <f aca="true" t="shared" si="33" ref="Q53:X53">SUM(Q54:Q55)</f>
        <v>0</v>
      </c>
      <c r="R53" s="724">
        <f t="shared" si="33"/>
        <v>2</v>
      </c>
      <c r="S53" s="296">
        <f t="shared" si="33"/>
        <v>0</v>
      </c>
      <c r="T53" s="239">
        <f>SUM(T54:T55)</f>
        <v>0</v>
      </c>
      <c r="U53" s="239">
        <f>SUM(U54:U55)</f>
        <v>0</v>
      </c>
      <c r="V53" s="239">
        <f>SUM(V54:V55)</f>
        <v>0</v>
      </c>
      <c r="W53" s="239">
        <f>SUM(W54:W55)</f>
        <v>0</v>
      </c>
      <c r="X53" s="239">
        <f t="shared" si="33"/>
        <v>0</v>
      </c>
      <c r="Y53" s="663"/>
    </row>
    <row r="54" spans="1:25" s="889" customFormat="1" ht="21.75" customHeight="1">
      <c r="A54" s="919"/>
      <c r="B54" s="66" t="s">
        <v>44</v>
      </c>
      <c r="C54" s="1310" t="s">
        <v>310</v>
      </c>
      <c r="D54" s="1310"/>
      <c r="E54" s="858">
        <v>600000</v>
      </c>
      <c r="F54" s="844">
        <v>600000</v>
      </c>
      <c r="G54" s="844">
        <v>600000</v>
      </c>
      <c r="H54" s="844">
        <v>1264300</v>
      </c>
      <c r="I54" s="844"/>
      <c r="J54" s="844"/>
      <c r="K54" s="899"/>
      <c r="L54" s="858">
        <f>E54</f>
        <v>600000</v>
      </c>
      <c r="M54" s="844">
        <f>F54</f>
        <v>600000</v>
      </c>
      <c r="N54" s="844">
        <f>G54</f>
        <v>600000</v>
      </c>
      <c r="O54" s="844">
        <f>H54</f>
        <v>1264300</v>
      </c>
      <c r="P54" s="898">
        <f>I54-W54</f>
        <v>0</v>
      </c>
      <c r="Q54" s="844">
        <f>J54</f>
        <v>0</v>
      </c>
      <c r="R54" s="865">
        <f>K54</f>
        <v>0</v>
      </c>
      <c r="S54" s="858">
        <v>0</v>
      </c>
      <c r="T54" s="844">
        <v>0</v>
      </c>
      <c r="U54" s="844">
        <v>0</v>
      </c>
      <c r="V54" s="844">
        <v>0</v>
      </c>
      <c r="W54" s="844">
        <v>0</v>
      </c>
      <c r="X54" s="844"/>
      <c r="Y54" s="669"/>
    </row>
    <row r="55" spans="1:25" ht="21.75" customHeight="1" thickBot="1">
      <c r="A55" s="912"/>
      <c r="B55" s="69" t="s">
        <v>309</v>
      </c>
      <c r="C55" s="1301" t="s">
        <v>311</v>
      </c>
      <c r="D55" s="1301"/>
      <c r="E55" s="859">
        <v>0</v>
      </c>
      <c r="F55" s="860">
        <v>0</v>
      </c>
      <c r="G55" s="860">
        <v>0</v>
      </c>
      <c r="H55" s="860">
        <v>0</v>
      </c>
      <c r="I55" s="860">
        <v>0</v>
      </c>
      <c r="J55" s="860">
        <v>0</v>
      </c>
      <c r="K55" s="861"/>
      <c r="L55" s="859">
        <v>0</v>
      </c>
      <c r="M55" s="860">
        <v>0</v>
      </c>
      <c r="N55" s="860">
        <v>0</v>
      </c>
      <c r="O55" s="860">
        <v>0</v>
      </c>
      <c r="P55" s="860">
        <v>0</v>
      </c>
      <c r="Q55" s="860">
        <v>0</v>
      </c>
      <c r="R55" s="870">
        <v>2</v>
      </c>
      <c r="S55" s="859">
        <v>0</v>
      </c>
      <c r="T55" s="860">
        <v>0</v>
      </c>
      <c r="U55" s="860">
        <v>0</v>
      </c>
      <c r="V55" s="860">
        <v>0</v>
      </c>
      <c r="W55" s="860">
        <v>0</v>
      </c>
      <c r="X55" s="860"/>
      <c r="Y55" s="665"/>
    </row>
    <row r="56" spans="1:25" ht="21.75" customHeight="1" thickBot="1">
      <c r="A56" s="913" t="s">
        <v>13</v>
      </c>
      <c r="B56" s="1311" t="s">
        <v>73</v>
      </c>
      <c r="C56" s="1311"/>
      <c r="D56" s="1311"/>
      <c r="E56" s="296">
        <f aca="true" t="shared" si="34" ref="E56:J56">E8+E22+E42+E50+E53+E33</f>
        <v>587834866</v>
      </c>
      <c r="F56" s="239">
        <f>F8+F22+F42+F50+F53+F33</f>
        <v>574382539</v>
      </c>
      <c r="G56" s="239">
        <f>G8+G22+G42+G50+G53+G33</f>
        <v>596396017</v>
      </c>
      <c r="H56" s="239">
        <f>H8+H22+H42+H50+H53+H33</f>
        <v>639913239</v>
      </c>
      <c r="I56" s="239">
        <f t="shared" si="34"/>
        <v>165260474</v>
      </c>
      <c r="J56" s="239">
        <f t="shared" si="34"/>
        <v>0</v>
      </c>
      <c r="K56" s="890">
        <f>J56/I56</f>
        <v>0</v>
      </c>
      <c r="L56" s="296">
        <f>L8+L22+L42+L50+L53+L33</f>
        <v>568154898</v>
      </c>
      <c r="M56" s="239">
        <f>M8+M22+M42+M50+M53+M33</f>
        <v>546742792</v>
      </c>
      <c r="N56" s="239">
        <f>N8+N22+N42+N50+N53+N33</f>
        <v>568756270</v>
      </c>
      <c r="O56" s="239">
        <f>O8+O22+O42+O50+O53+O33</f>
        <v>616948087</v>
      </c>
      <c r="P56" s="239">
        <f>P8+P22+P42+P50+P53+P33</f>
        <v>146375937</v>
      </c>
      <c r="Q56" s="239">
        <f aca="true" t="shared" si="35" ref="Q56:X56">Q8+Q22+Q42+Q50+Q53+Q33</f>
        <v>-20150631</v>
      </c>
      <c r="R56" s="724">
        <f t="shared" si="35"/>
        <v>106000012.94864257</v>
      </c>
      <c r="S56" s="296">
        <f t="shared" si="35"/>
        <v>19679968</v>
      </c>
      <c r="T56" s="239">
        <f>T8+T22+T42+T50+T53+T33</f>
        <v>27639747</v>
      </c>
      <c r="U56" s="239">
        <f>U8+U22+U42+U50+U53+U33</f>
        <v>27639747</v>
      </c>
      <c r="V56" s="239">
        <f>V8+V22+V42+V50+V53+V33</f>
        <v>22965152</v>
      </c>
      <c r="W56" s="239">
        <f>W8+W22+W42+W50+W53+W33</f>
        <v>18884537</v>
      </c>
      <c r="X56" s="239">
        <f t="shared" si="35"/>
        <v>20150631</v>
      </c>
      <c r="Y56" s="663">
        <f>W56/V56</f>
        <v>0.8223127371419097</v>
      </c>
    </row>
    <row r="57" spans="1:25" ht="24" customHeight="1" thickBot="1">
      <c r="A57" s="67" t="s">
        <v>54</v>
      </c>
      <c r="B57" s="1296" t="s">
        <v>312</v>
      </c>
      <c r="C57" s="1296"/>
      <c r="D57" s="1296"/>
      <c r="E57" s="296">
        <f aca="true" t="shared" si="36" ref="E57:J57">SUM(E58:E60)</f>
        <v>299915538</v>
      </c>
      <c r="F57" s="239">
        <f>SUM(F58:F60)</f>
        <v>299915538</v>
      </c>
      <c r="G57" s="239">
        <f>SUM(G58:G60)</f>
        <v>299915538</v>
      </c>
      <c r="H57" s="239">
        <f>SUM(H58:H60)</f>
        <v>313869065</v>
      </c>
      <c r="I57" s="239">
        <f t="shared" si="36"/>
        <v>0</v>
      </c>
      <c r="J57" s="239">
        <f t="shared" si="36"/>
        <v>0</v>
      </c>
      <c r="K57" s="890" t="e">
        <f>J57/I57</f>
        <v>#DIV/0!</v>
      </c>
      <c r="L57" s="296">
        <f>SUM(L58:L60)</f>
        <v>284279744</v>
      </c>
      <c r="M57" s="239">
        <f>SUM(M58:M60)</f>
        <v>284279744</v>
      </c>
      <c r="N57" s="239">
        <f>SUM(N58:N60)</f>
        <v>284279744</v>
      </c>
      <c r="O57" s="239">
        <f>SUM(O58:O60)</f>
        <v>298233271</v>
      </c>
      <c r="P57" s="239">
        <f>SUM(P58:P60)</f>
        <v>0</v>
      </c>
      <c r="Q57" s="239">
        <f aca="true" t="shared" si="37" ref="Q57:X57">SUM(Q58:Q60)</f>
        <v>0</v>
      </c>
      <c r="R57" s="724">
        <f t="shared" si="37"/>
        <v>0</v>
      </c>
      <c r="S57" s="296">
        <f t="shared" si="37"/>
        <v>15635794</v>
      </c>
      <c r="T57" s="239">
        <f>SUM(T58:T60)</f>
        <v>15635794</v>
      </c>
      <c r="U57" s="239">
        <f>SUM(U58:U60)</f>
        <v>15635794</v>
      </c>
      <c r="V57" s="239">
        <f>SUM(V58:V60)</f>
        <v>15635794</v>
      </c>
      <c r="W57" s="239">
        <f>SUM(W58:W60)</f>
        <v>0</v>
      </c>
      <c r="X57" s="239">
        <f t="shared" si="37"/>
        <v>0</v>
      </c>
      <c r="Y57" s="663"/>
    </row>
    <row r="58" spans="1:25" ht="21.75" customHeight="1">
      <c r="A58" s="909"/>
      <c r="B58" s="66" t="s">
        <v>45</v>
      </c>
      <c r="C58" s="1310" t="s">
        <v>496</v>
      </c>
      <c r="D58" s="1310"/>
      <c r="E58" s="858"/>
      <c r="F58" s="844"/>
      <c r="G58" s="844"/>
      <c r="H58" s="856">
        <v>13999235</v>
      </c>
      <c r="I58" s="844"/>
      <c r="J58" s="844"/>
      <c r="K58" s="899"/>
      <c r="L58" s="858">
        <f aca="true" t="shared" si="38" ref="L58:O59">E58</f>
        <v>0</v>
      </c>
      <c r="M58" s="844">
        <f t="shared" si="38"/>
        <v>0</v>
      </c>
      <c r="N58" s="844">
        <f t="shared" si="38"/>
        <v>0</v>
      </c>
      <c r="O58" s="844">
        <f t="shared" si="38"/>
        <v>13999235</v>
      </c>
      <c r="P58" s="844"/>
      <c r="Q58" s="844">
        <f>J58</f>
        <v>0</v>
      </c>
      <c r="R58" s="865">
        <f>K58</f>
        <v>0</v>
      </c>
      <c r="S58" s="858">
        <v>0</v>
      </c>
      <c r="T58" s="844">
        <v>0</v>
      </c>
      <c r="U58" s="844">
        <v>0</v>
      </c>
      <c r="V58" s="844">
        <v>0</v>
      </c>
      <c r="W58" s="844">
        <v>0</v>
      </c>
      <c r="X58" s="844"/>
      <c r="Y58" s="669"/>
    </row>
    <row r="59" spans="1:25" ht="21.75" customHeight="1">
      <c r="A59" s="896"/>
      <c r="B59" s="915" t="s">
        <v>46</v>
      </c>
      <c r="C59" s="1310" t="s">
        <v>477</v>
      </c>
      <c r="D59" s="1310"/>
      <c r="E59" s="855"/>
      <c r="F59" s="856"/>
      <c r="G59" s="856"/>
      <c r="H59" s="856"/>
      <c r="I59" s="856"/>
      <c r="J59" s="856"/>
      <c r="K59" s="857"/>
      <c r="L59" s="858">
        <f t="shared" si="38"/>
        <v>0</v>
      </c>
      <c r="M59" s="844">
        <f t="shared" si="38"/>
        <v>0</v>
      </c>
      <c r="N59" s="844">
        <f t="shared" si="38"/>
        <v>0</v>
      </c>
      <c r="O59" s="844">
        <f t="shared" si="38"/>
        <v>0</v>
      </c>
      <c r="P59" s="898">
        <f>I59-W59</f>
        <v>0</v>
      </c>
      <c r="Q59" s="844">
        <f>J59</f>
        <v>0</v>
      </c>
      <c r="R59" s="871"/>
      <c r="S59" s="855">
        <v>0</v>
      </c>
      <c r="T59" s="856">
        <v>0</v>
      </c>
      <c r="U59" s="856">
        <v>0</v>
      </c>
      <c r="V59" s="856">
        <v>0</v>
      </c>
      <c r="W59" s="856">
        <v>0</v>
      </c>
      <c r="X59" s="856"/>
      <c r="Y59" s="666"/>
    </row>
    <row r="60" spans="1:25" ht="21.75" customHeight="1" thickBot="1">
      <c r="A60" s="896"/>
      <c r="B60" s="915" t="s">
        <v>72</v>
      </c>
      <c r="C60" s="1310" t="s">
        <v>313</v>
      </c>
      <c r="D60" s="1310"/>
      <c r="E60" s="855">
        <v>299915538</v>
      </c>
      <c r="F60" s="856">
        <v>299915538</v>
      </c>
      <c r="G60" s="856">
        <v>299915538</v>
      </c>
      <c r="H60" s="856">
        <v>299869830</v>
      </c>
      <c r="I60" s="856"/>
      <c r="J60" s="856"/>
      <c r="K60" s="899"/>
      <c r="L60" s="858">
        <f>+E60-S60</f>
        <v>284279744</v>
      </c>
      <c r="M60" s="844">
        <f>+F60-T60</f>
        <v>284279744</v>
      </c>
      <c r="N60" s="844">
        <f>+G60-U60</f>
        <v>284279744</v>
      </c>
      <c r="O60" s="844">
        <f>+H60-V60</f>
        <v>284234036</v>
      </c>
      <c r="P60" s="898">
        <f>I60-W60</f>
        <v>0</v>
      </c>
      <c r="Q60" s="844">
        <f>J60</f>
        <v>0</v>
      </c>
      <c r="R60" s="865">
        <f>K60</f>
        <v>0</v>
      </c>
      <c r="S60" s="855">
        <v>15635794</v>
      </c>
      <c r="T60" s="856">
        <v>15635794</v>
      </c>
      <c r="U60" s="856">
        <v>15635794</v>
      </c>
      <c r="V60" s="856">
        <v>15635794</v>
      </c>
      <c r="W60" s="856">
        <v>0</v>
      </c>
      <c r="X60" s="856"/>
      <c r="Y60" s="666"/>
    </row>
    <row r="61" spans="1:25" ht="35.25" customHeight="1" thickBot="1">
      <c r="A61" s="913" t="s">
        <v>55</v>
      </c>
      <c r="B61" s="1367" t="s">
        <v>74</v>
      </c>
      <c r="C61" s="1367"/>
      <c r="D61" s="1367"/>
      <c r="E61" s="296">
        <f aca="true" t="shared" si="39" ref="E61:J61">E56+E57</f>
        <v>887750404</v>
      </c>
      <c r="F61" s="239">
        <f>F56+F57</f>
        <v>874298077</v>
      </c>
      <c r="G61" s="239">
        <f>G56+G57</f>
        <v>896311555</v>
      </c>
      <c r="H61" s="239">
        <f>H56+H57</f>
        <v>953782304</v>
      </c>
      <c r="I61" s="239">
        <f t="shared" si="39"/>
        <v>165260474</v>
      </c>
      <c r="J61" s="239">
        <f t="shared" si="39"/>
        <v>0</v>
      </c>
      <c r="K61" s="890">
        <f>J61/I61</f>
        <v>0</v>
      </c>
      <c r="L61" s="296">
        <f>L56+L57</f>
        <v>852434642</v>
      </c>
      <c r="M61" s="239">
        <f>M56+M57</f>
        <v>831022536</v>
      </c>
      <c r="N61" s="239">
        <f>N56+N57</f>
        <v>853036014</v>
      </c>
      <c r="O61" s="239">
        <f>O56+O57</f>
        <v>915181358</v>
      </c>
      <c r="P61" s="239">
        <f>P56+P57</f>
        <v>146375937</v>
      </c>
      <c r="Q61" s="239">
        <f aca="true" t="shared" si="40" ref="Q61:X61">Q56+Q57</f>
        <v>-20150631</v>
      </c>
      <c r="R61" s="724">
        <f t="shared" si="40"/>
        <v>106000012.94864257</v>
      </c>
      <c r="S61" s="296">
        <f t="shared" si="40"/>
        <v>35315762</v>
      </c>
      <c r="T61" s="239">
        <f>T56+T57</f>
        <v>43275541</v>
      </c>
      <c r="U61" s="239">
        <f>U56+U57</f>
        <v>43275541</v>
      </c>
      <c r="V61" s="239">
        <f>V56+V57</f>
        <v>38600946</v>
      </c>
      <c r="W61" s="239">
        <f>W56+W57</f>
        <v>18884537</v>
      </c>
      <c r="X61" s="239">
        <f t="shared" si="40"/>
        <v>20150631</v>
      </c>
      <c r="Y61" s="663">
        <f>W61/V61</f>
        <v>0.489224720036654</v>
      </c>
    </row>
    <row r="62" spans="1:25" ht="21.75" customHeight="1" hidden="1" thickBot="1">
      <c r="A62" s="1368" t="s">
        <v>227</v>
      </c>
      <c r="B62" s="1369"/>
      <c r="C62" s="1369"/>
      <c r="D62" s="1369"/>
      <c r="E62" s="920"/>
      <c r="F62" s="921"/>
      <c r="G62" s="921"/>
      <c r="H62" s="921"/>
      <c r="I62" s="921"/>
      <c r="J62" s="921"/>
      <c r="K62" s="890" t="e">
        <f>J62/I62</f>
        <v>#DIV/0!</v>
      </c>
      <c r="L62" s="920"/>
      <c r="M62" s="921"/>
      <c r="N62" s="921"/>
      <c r="O62" s="921"/>
      <c r="P62" s="921"/>
      <c r="Q62" s="921"/>
      <c r="R62" s="922"/>
      <c r="S62" s="920"/>
      <c r="T62" s="921"/>
      <c r="U62" s="921"/>
      <c r="V62" s="921"/>
      <c r="W62" s="921"/>
      <c r="X62" s="921"/>
      <c r="Y62" s="923" t="e">
        <f>W62/V62</f>
        <v>#DIV/0!</v>
      </c>
    </row>
    <row r="63" spans="1:25" ht="21.75" customHeight="1" thickBot="1">
      <c r="A63" s="1366" t="s">
        <v>6</v>
      </c>
      <c r="B63" s="1367"/>
      <c r="C63" s="1367"/>
      <c r="D63" s="1367"/>
      <c r="E63" s="924">
        <f aca="true" t="shared" si="41" ref="E63:J63">E61+E62</f>
        <v>887750404</v>
      </c>
      <c r="F63" s="925">
        <f>F61+F62</f>
        <v>874298077</v>
      </c>
      <c r="G63" s="925">
        <f>G61+G62</f>
        <v>896311555</v>
      </c>
      <c r="H63" s="925">
        <f>H61+H62</f>
        <v>953782304</v>
      </c>
      <c r="I63" s="925">
        <f t="shared" si="41"/>
        <v>165260474</v>
      </c>
      <c r="J63" s="925">
        <f t="shared" si="41"/>
        <v>0</v>
      </c>
      <c r="K63" s="890">
        <f>J63/I63</f>
        <v>0</v>
      </c>
      <c r="L63" s="924">
        <f>L61+L62</f>
        <v>852434642</v>
      </c>
      <c r="M63" s="925">
        <f>M61+M62</f>
        <v>831022536</v>
      </c>
      <c r="N63" s="925">
        <f>N61+N62</f>
        <v>853036014</v>
      </c>
      <c r="O63" s="925">
        <f>O61+O62</f>
        <v>915181358</v>
      </c>
      <c r="P63" s="925">
        <f>P61+P62</f>
        <v>146375937</v>
      </c>
      <c r="Q63" s="925">
        <f aca="true" t="shared" si="42" ref="Q63:X63">Q61+Q62</f>
        <v>-20150631</v>
      </c>
      <c r="R63" s="926">
        <f t="shared" si="42"/>
        <v>106000012.94864257</v>
      </c>
      <c r="S63" s="924">
        <f t="shared" si="42"/>
        <v>35315762</v>
      </c>
      <c r="T63" s="925">
        <f>T61+T62</f>
        <v>43275541</v>
      </c>
      <c r="U63" s="925">
        <f>U61+U62</f>
        <v>43275541</v>
      </c>
      <c r="V63" s="925">
        <f>V61+V62</f>
        <v>38600946</v>
      </c>
      <c r="W63" s="925">
        <f>W61+W62</f>
        <v>18884537</v>
      </c>
      <c r="X63" s="925">
        <f t="shared" si="42"/>
        <v>20150631</v>
      </c>
      <c r="Y63" s="927">
        <f>W63/V63</f>
        <v>0.489224720036654</v>
      </c>
    </row>
    <row r="64" spans="1:25" ht="21.75" customHeight="1">
      <c r="A64" s="928"/>
      <c r="B64" s="929"/>
      <c r="C64" s="929"/>
      <c r="D64" s="929"/>
      <c r="E64" s="930"/>
      <c r="F64" s="930"/>
      <c r="G64" s="931"/>
      <c r="H64" s="931"/>
      <c r="I64" s="930"/>
      <c r="J64" s="931"/>
      <c r="K64" s="930"/>
      <c r="L64" s="930"/>
      <c r="M64" s="930"/>
      <c r="N64" s="930"/>
      <c r="O64" s="931"/>
      <c r="P64" s="930"/>
      <c r="Q64" s="930"/>
      <c r="R64" s="930"/>
      <c r="S64" s="930"/>
      <c r="T64" s="930"/>
      <c r="U64" s="930"/>
      <c r="V64" s="930"/>
      <c r="W64" s="930"/>
      <c r="X64" s="930"/>
      <c r="Y64" s="930"/>
    </row>
    <row r="65" spans="1:22" ht="21.75" customHeight="1">
      <c r="A65" s="932"/>
      <c r="B65" s="933"/>
      <c r="C65" s="933"/>
      <c r="D65" s="933"/>
      <c r="E65" s="879"/>
      <c r="G65" s="918"/>
      <c r="H65" s="879"/>
      <c r="K65" s="879"/>
      <c r="L65" s="918"/>
      <c r="T65" s="879"/>
      <c r="U65" s="879"/>
      <c r="V65" s="879"/>
    </row>
    <row r="66" spans="1:22" ht="35.25" customHeight="1">
      <c r="A66" s="932"/>
      <c r="B66" s="933"/>
      <c r="C66" s="933"/>
      <c r="D66" s="933"/>
      <c r="E66" s="934" t="str">
        <f>IF(E63='4.sz.m.ÖNK kiadás'!E40," ","HIBA - eltérő összesen")</f>
        <v> </v>
      </c>
      <c r="F66" s="934" t="str">
        <f>IF(F63='4.sz.m.ÖNK kiadás'!F40," ","HIBA - eltérő összesen")</f>
        <v> </v>
      </c>
      <c r="G66" s="934"/>
      <c r="H66" s="934"/>
      <c r="I66" s="934"/>
      <c r="J66" s="934"/>
      <c r="K66" s="879"/>
      <c r="M66" s="879"/>
      <c r="N66" s="879"/>
      <c r="P66" s="879"/>
      <c r="Q66" s="879"/>
      <c r="R66" s="879"/>
      <c r="T66" s="879"/>
      <c r="U66" s="879"/>
      <c r="V66" s="879"/>
    </row>
    <row r="67" spans="1:22" ht="35.25" customHeight="1">
      <c r="A67" s="932"/>
      <c r="B67" s="933"/>
      <c r="C67" s="933"/>
      <c r="D67" s="933"/>
      <c r="E67" s="935" t="str">
        <f>IF(L63+S63=E63," ","HIBA-nincs egyenlőség")</f>
        <v> </v>
      </c>
      <c r="F67" s="935" t="str">
        <f>IF(M63+T63=F63," ","HIBA-nincs egyenlőség")</f>
        <v> </v>
      </c>
      <c r="G67" s="935"/>
      <c r="H67" s="935"/>
      <c r="I67" s="935"/>
      <c r="J67" s="935"/>
      <c r="K67" s="935"/>
      <c r="L67" s="879"/>
      <c r="M67" s="879"/>
      <c r="N67" s="879"/>
      <c r="O67" s="879"/>
      <c r="P67" s="879"/>
      <c r="Q67" s="879"/>
      <c r="R67" s="879"/>
      <c r="T67" s="879"/>
      <c r="U67" s="879"/>
      <c r="V67" s="879"/>
    </row>
    <row r="68" spans="5:22" ht="12.75">
      <c r="E68" s="879"/>
      <c r="F68" s="879"/>
      <c r="G68" s="879"/>
      <c r="H68" s="879"/>
      <c r="I68" s="879"/>
      <c r="J68" s="879"/>
      <c r="K68" s="879"/>
      <c r="L68" s="879"/>
      <c r="M68" s="879"/>
      <c r="N68" s="879"/>
      <c r="O68" s="879"/>
      <c r="P68" s="879"/>
      <c r="Q68" s="879"/>
      <c r="R68" s="879"/>
      <c r="T68" s="879"/>
      <c r="U68" s="879"/>
      <c r="V68" s="879"/>
    </row>
    <row r="69" spans="5:22" ht="12.75">
      <c r="E69" s="879"/>
      <c r="F69" s="879"/>
      <c r="G69" s="879"/>
      <c r="H69" s="879"/>
      <c r="I69" s="879"/>
      <c r="J69" s="879"/>
      <c r="K69" s="879"/>
      <c r="L69" s="879"/>
      <c r="M69" s="879"/>
      <c r="N69" s="879"/>
      <c r="O69" s="879"/>
      <c r="P69" s="879"/>
      <c r="Q69" s="879"/>
      <c r="R69" s="879"/>
      <c r="T69" s="879"/>
      <c r="U69" s="879"/>
      <c r="V69" s="879"/>
    </row>
    <row r="70" spans="5:22" ht="12.75">
      <c r="E70" s="879"/>
      <c r="F70" s="879"/>
      <c r="G70" s="879"/>
      <c r="H70" s="879"/>
      <c r="I70" s="879"/>
      <c r="J70" s="879"/>
      <c r="K70" s="879"/>
      <c r="L70" s="879"/>
      <c r="M70" s="879"/>
      <c r="N70" s="879"/>
      <c r="O70" s="879"/>
      <c r="P70" s="879"/>
      <c r="Q70" s="879"/>
      <c r="R70" s="879"/>
      <c r="T70" s="879"/>
      <c r="U70" s="879"/>
      <c r="V70" s="879"/>
    </row>
    <row r="71" spans="4:22" ht="12.75">
      <c r="D71" s="938"/>
      <c r="E71" s="879"/>
      <c r="F71" s="879"/>
      <c r="G71" s="879"/>
      <c r="H71" s="879"/>
      <c r="I71" s="879"/>
      <c r="J71" s="879"/>
      <c r="K71" s="879"/>
      <c r="L71" s="879"/>
      <c r="M71" s="879"/>
      <c r="N71" s="879"/>
      <c r="O71" s="879"/>
      <c r="P71" s="879"/>
      <c r="Q71" s="879"/>
      <c r="R71" s="879"/>
      <c r="T71" s="879"/>
      <c r="U71" s="879"/>
      <c r="V71" s="879"/>
    </row>
    <row r="72" spans="4:22" ht="48.75" customHeight="1">
      <c r="D72" s="938"/>
      <c r="E72" s="879"/>
      <c r="F72" s="879"/>
      <c r="G72" s="879"/>
      <c r="H72" s="879"/>
      <c r="I72" s="879"/>
      <c r="J72" s="879"/>
      <c r="K72" s="879"/>
      <c r="L72" s="879"/>
      <c r="M72" s="879"/>
      <c r="N72" s="879"/>
      <c r="O72" s="879"/>
      <c r="P72" s="879"/>
      <c r="Q72" s="879"/>
      <c r="R72" s="879"/>
      <c r="T72" s="879"/>
      <c r="U72" s="879"/>
      <c r="V72" s="879"/>
    </row>
    <row r="73" spans="4:22" ht="46.5" customHeight="1">
      <c r="D73" s="938"/>
      <c r="E73" s="879"/>
      <c r="F73" s="879"/>
      <c r="G73" s="879"/>
      <c r="H73" s="879"/>
      <c r="I73" s="879"/>
      <c r="J73" s="879"/>
      <c r="K73" s="879"/>
      <c r="L73" s="879"/>
      <c r="M73" s="879"/>
      <c r="N73" s="879"/>
      <c r="O73" s="879"/>
      <c r="P73" s="879"/>
      <c r="Q73" s="879"/>
      <c r="R73" s="879"/>
      <c r="T73" s="879"/>
      <c r="U73" s="879"/>
      <c r="V73" s="879"/>
    </row>
    <row r="74" spans="5:22" ht="41.25" customHeight="1">
      <c r="E74" s="879"/>
      <c r="F74" s="879"/>
      <c r="G74" s="879"/>
      <c r="H74" s="879"/>
      <c r="I74" s="879"/>
      <c r="J74" s="879"/>
      <c r="K74" s="879"/>
      <c r="L74" s="879"/>
      <c r="M74" s="879"/>
      <c r="N74" s="879"/>
      <c r="O74" s="879"/>
      <c r="P74" s="879"/>
      <c r="Q74" s="879"/>
      <c r="R74" s="879"/>
      <c r="T74" s="879"/>
      <c r="U74" s="879"/>
      <c r="V74" s="879"/>
    </row>
    <row r="75" spans="5:22" ht="12.75">
      <c r="E75" s="879"/>
      <c r="F75" s="879"/>
      <c r="G75" s="879"/>
      <c r="H75" s="879"/>
      <c r="I75" s="879"/>
      <c r="J75" s="879"/>
      <c r="K75" s="879"/>
      <c r="L75" s="879"/>
      <c r="M75" s="879"/>
      <c r="N75" s="879"/>
      <c r="O75" s="879"/>
      <c r="P75" s="879"/>
      <c r="Q75" s="879"/>
      <c r="R75" s="879"/>
      <c r="T75" s="879"/>
      <c r="U75" s="879"/>
      <c r="V75" s="879"/>
    </row>
    <row r="76" spans="5:22" ht="12.75"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T76" s="879"/>
      <c r="U76" s="879"/>
      <c r="V76" s="879"/>
    </row>
    <row r="77" spans="5:22" ht="12.75"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T77" s="879"/>
      <c r="U77" s="879"/>
      <c r="V77" s="879"/>
    </row>
    <row r="78" spans="5:22" ht="12.75"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T78" s="879"/>
      <c r="U78" s="879"/>
      <c r="V78" s="879"/>
    </row>
    <row r="79" spans="5:22" ht="12.75"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T79" s="879"/>
      <c r="U79" s="879"/>
      <c r="V79" s="879"/>
    </row>
    <row r="80" spans="5:22" ht="12.75">
      <c r="E80" s="879"/>
      <c r="F80" s="879"/>
      <c r="G80" s="879"/>
      <c r="H80" s="879"/>
      <c r="I80" s="879"/>
      <c r="J80" s="879"/>
      <c r="K80" s="879"/>
      <c r="L80" s="879"/>
      <c r="M80" s="879"/>
      <c r="N80" s="879"/>
      <c r="O80" s="879"/>
      <c r="P80" s="879"/>
      <c r="Q80" s="879"/>
      <c r="R80" s="879"/>
      <c r="T80" s="879"/>
      <c r="U80" s="879"/>
      <c r="V80" s="879"/>
    </row>
    <row r="81" spans="5:22" ht="12.75">
      <c r="E81" s="879"/>
      <c r="F81" s="879"/>
      <c r="G81" s="879"/>
      <c r="H81" s="879"/>
      <c r="I81" s="879"/>
      <c r="J81" s="879"/>
      <c r="K81" s="879"/>
      <c r="L81" s="879"/>
      <c r="M81" s="879"/>
      <c r="N81" s="879"/>
      <c r="O81" s="879"/>
      <c r="P81" s="879"/>
      <c r="Q81" s="879"/>
      <c r="R81" s="879"/>
      <c r="T81" s="879"/>
      <c r="U81" s="879"/>
      <c r="V81" s="879"/>
    </row>
    <row r="82" spans="5:22" ht="12.75">
      <c r="E82" s="879"/>
      <c r="F82" s="879"/>
      <c r="G82" s="879"/>
      <c r="H82" s="879"/>
      <c r="I82" s="879"/>
      <c r="J82" s="879"/>
      <c r="K82" s="879"/>
      <c r="L82" s="879"/>
      <c r="M82" s="879"/>
      <c r="N82" s="879"/>
      <c r="O82" s="879"/>
      <c r="P82" s="879"/>
      <c r="Q82" s="879"/>
      <c r="R82" s="879"/>
      <c r="T82" s="879"/>
      <c r="U82" s="879"/>
      <c r="V82" s="879"/>
    </row>
    <row r="83" spans="5:22" ht="12.75">
      <c r="E83" s="879"/>
      <c r="F83" s="879"/>
      <c r="G83" s="879"/>
      <c r="H83" s="879"/>
      <c r="I83" s="879"/>
      <c r="J83" s="879"/>
      <c r="K83" s="879"/>
      <c r="L83" s="879"/>
      <c r="M83" s="879"/>
      <c r="N83" s="879"/>
      <c r="O83" s="879"/>
      <c r="P83" s="879"/>
      <c r="Q83" s="879"/>
      <c r="R83" s="879"/>
      <c r="T83" s="879"/>
      <c r="U83" s="879"/>
      <c r="V83" s="879"/>
    </row>
    <row r="84" spans="5:22" ht="12.75">
      <c r="E84" s="879"/>
      <c r="F84" s="879"/>
      <c r="G84" s="879"/>
      <c r="H84" s="879"/>
      <c r="I84" s="879"/>
      <c r="J84" s="879"/>
      <c r="K84" s="879"/>
      <c r="L84" s="879"/>
      <c r="M84" s="879"/>
      <c r="N84" s="879"/>
      <c r="O84" s="879"/>
      <c r="P84" s="879"/>
      <c r="Q84" s="879"/>
      <c r="R84" s="879"/>
      <c r="T84" s="879"/>
      <c r="U84" s="879"/>
      <c r="V84" s="879"/>
    </row>
    <row r="85" spans="5:22" ht="12.75">
      <c r="E85" s="879"/>
      <c r="F85" s="879"/>
      <c r="G85" s="879"/>
      <c r="H85" s="879"/>
      <c r="I85" s="879"/>
      <c r="J85" s="879"/>
      <c r="K85" s="879"/>
      <c r="L85" s="879"/>
      <c r="M85" s="879"/>
      <c r="N85" s="879"/>
      <c r="O85" s="879"/>
      <c r="P85" s="879"/>
      <c r="Q85" s="879"/>
      <c r="R85" s="879"/>
      <c r="T85" s="879"/>
      <c r="U85" s="879"/>
      <c r="V85" s="879"/>
    </row>
    <row r="86" spans="5:22" ht="12.75">
      <c r="E86" s="879"/>
      <c r="F86" s="879"/>
      <c r="G86" s="879"/>
      <c r="H86" s="879"/>
      <c r="I86" s="879"/>
      <c r="J86" s="879"/>
      <c r="K86" s="879"/>
      <c r="L86" s="879"/>
      <c r="M86" s="879"/>
      <c r="N86" s="879"/>
      <c r="O86" s="879"/>
      <c r="P86" s="879"/>
      <c r="Q86" s="879"/>
      <c r="R86" s="879"/>
      <c r="T86" s="879"/>
      <c r="U86" s="879"/>
      <c r="V86" s="879"/>
    </row>
    <row r="87" spans="5:22" ht="12.75">
      <c r="E87" s="879"/>
      <c r="F87" s="879"/>
      <c r="G87" s="879"/>
      <c r="H87" s="879"/>
      <c r="I87" s="879"/>
      <c r="J87" s="879"/>
      <c r="K87" s="879"/>
      <c r="L87" s="879"/>
      <c r="M87" s="879"/>
      <c r="N87" s="879"/>
      <c r="O87" s="879"/>
      <c r="P87" s="879"/>
      <c r="Q87" s="879"/>
      <c r="R87" s="879"/>
      <c r="T87" s="879"/>
      <c r="U87" s="879"/>
      <c r="V87" s="879"/>
    </row>
    <row r="88" spans="5:22" ht="12.75">
      <c r="E88" s="879"/>
      <c r="F88" s="879"/>
      <c r="G88" s="879"/>
      <c r="H88" s="879"/>
      <c r="I88" s="879"/>
      <c r="J88" s="879"/>
      <c r="K88" s="879"/>
      <c r="L88" s="879"/>
      <c r="M88" s="879"/>
      <c r="N88" s="879"/>
      <c r="O88" s="879"/>
      <c r="P88" s="879"/>
      <c r="Q88" s="879"/>
      <c r="R88" s="879"/>
      <c r="T88" s="879"/>
      <c r="U88" s="879"/>
      <c r="V88" s="879"/>
    </row>
    <row r="89" spans="5:22" ht="12.75"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T89" s="879"/>
      <c r="U89" s="879"/>
      <c r="V89" s="879"/>
    </row>
    <row r="90" spans="5:22" ht="12.75"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T90" s="879"/>
      <c r="U90" s="879"/>
      <c r="V90" s="879"/>
    </row>
    <row r="91" spans="5:22" ht="12.75"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T91" s="879"/>
      <c r="U91" s="879"/>
      <c r="V91" s="879"/>
    </row>
    <row r="92" spans="5:22" ht="12.75">
      <c r="E92" s="879"/>
      <c r="F92" s="879"/>
      <c r="G92" s="879"/>
      <c r="H92" s="879"/>
      <c r="I92" s="879"/>
      <c r="J92" s="879"/>
      <c r="K92" s="879"/>
      <c r="L92" s="879"/>
      <c r="M92" s="879"/>
      <c r="N92" s="879"/>
      <c r="O92" s="879"/>
      <c r="P92" s="879"/>
      <c r="Q92" s="879"/>
      <c r="R92" s="879"/>
      <c r="T92" s="879"/>
      <c r="U92" s="879"/>
      <c r="V92" s="879"/>
    </row>
    <row r="93" spans="5:22" ht="12.75">
      <c r="E93" s="879"/>
      <c r="F93" s="879"/>
      <c r="G93" s="879"/>
      <c r="H93" s="879"/>
      <c r="I93" s="879"/>
      <c r="J93" s="879"/>
      <c r="K93" s="879"/>
      <c r="L93" s="879"/>
      <c r="M93" s="879"/>
      <c r="N93" s="879"/>
      <c r="O93" s="879"/>
      <c r="P93" s="879"/>
      <c r="Q93" s="879"/>
      <c r="R93" s="879"/>
      <c r="T93" s="879"/>
      <c r="U93" s="879"/>
      <c r="V93" s="879"/>
    </row>
    <row r="94" spans="5:22" ht="12.75">
      <c r="E94" s="879"/>
      <c r="F94" s="879"/>
      <c r="G94" s="879"/>
      <c r="H94" s="879"/>
      <c r="I94" s="879"/>
      <c r="J94" s="879"/>
      <c r="K94" s="879"/>
      <c r="L94" s="879"/>
      <c r="M94" s="879"/>
      <c r="N94" s="879"/>
      <c r="O94" s="879"/>
      <c r="P94" s="879"/>
      <c r="Q94" s="879"/>
      <c r="R94" s="879"/>
      <c r="T94" s="879"/>
      <c r="U94" s="879"/>
      <c r="V94" s="879"/>
    </row>
    <row r="95" spans="5:22" ht="12.75">
      <c r="E95" s="879"/>
      <c r="F95" s="879"/>
      <c r="G95" s="879"/>
      <c r="H95" s="879"/>
      <c r="I95" s="879"/>
      <c r="J95" s="879"/>
      <c r="K95" s="879"/>
      <c r="L95" s="879"/>
      <c r="M95" s="879"/>
      <c r="N95" s="879"/>
      <c r="O95" s="879"/>
      <c r="P95" s="879"/>
      <c r="Q95" s="879"/>
      <c r="R95" s="879"/>
      <c r="T95" s="879"/>
      <c r="U95" s="879"/>
      <c r="V95" s="879"/>
    </row>
    <row r="96" spans="5:22" ht="12.75">
      <c r="E96" s="879"/>
      <c r="F96" s="879"/>
      <c r="G96" s="879"/>
      <c r="H96" s="879"/>
      <c r="I96" s="879"/>
      <c r="J96" s="879"/>
      <c r="K96" s="879"/>
      <c r="L96" s="879"/>
      <c r="M96" s="879"/>
      <c r="N96" s="879"/>
      <c r="O96" s="879"/>
      <c r="P96" s="879"/>
      <c r="Q96" s="879"/>
      <c r="R96" s="879"/>
      <c r="T96" s="879"/>
      <c r="U96" s="879"/>
      <c r="V96" s="879"/>
    </row>
    <row r="97" spans="5:22" ht="12.75">
      <c r="E97" s="879"/>
      <c r="F97" s="879"/>
      <c r="G97" s="879"/>
      <c r="H97" s="879"/>
      <c r="I97" s="879"/>
      <c r="J97" s="879"/>
      <c r="K97" s="879"/>
      <c r="L97" s="879"/>
      <c r="M97" s="879"/>
      <c r="N97" s="879"/>
      <c r="O97" s="879"/>
      <c r="P97" s="879"/>
      <c r="Q97" s="879"/>
      <c r="R97" s="879"/>
      <c r="T97" s="879"/>
      <c r="U97" s="879"/>
      <c r="V97" s="879"/>
    </row>
    <row r="98" spans="5:22" ht="12.75">
      <c r="E98" s="879"/>
      <c r="F98" s="879"/>
      <c r="G98" s="879"/>
      <c r="H98" s="879"/>
      <c r="I98" s="879"/>
      <c r="J98" s="879"/>
      <c r="K98" s="879"/>
      <c r="L98" s="879"/>
      <c r="M98" s="879"/>
      <c r="N98" s="879"/>
      <c r="O98" s="879"/>
      <c r="P98" s="879"/>
      <c r="Q98" s="879"/>
      <c r="R98" s="879"/>
      <c r="T98" s="879"/>
      <c r="U98" s="879"/>
      <c r="V98" s="879"/>
    </row>
    <row r="99" spans="5:22" ht="12.75">
      <c r="E99" s="879"/>
      <c r="F99" s="879"/>
      <c r="G99" s="879"/>
      <c r="H99" s="879"/>
      <c r="I99" s="879"/>
      <c r="J99" s="879"/>
      <c r="K99" s="879"/>
      <c r="L99" s="879"/>
      <c r="M99" s="879"/>
      <c r="N99" s="879"/>
      <c r="O99" s="879"/>
      <c r="P99" s="879"/>
      <c r="Q99" s="879"/>
      <c r="R99" s="879"/>
      <c r="T99" s="879"/>
      <c r="U99" s="879"/>
      <c r="V99" s="879"/>
    </row>
    <row r="100" spans="5:22" ht="12.75">
      <c r="E100" s="879"/>
      <c r="F100" s="879"/>
      <c r="G100" s="879"/>
      <c r="H100" s="879"/>
      <c r="I100" s="879"/>
      <c r="J100" s="879"/>
      <c r="K100" s="879"/>
      <c r="L100" s="879"/>
      <c r="M100" s="879"/>
      <c r="N100" s="879"/>
      <c r="O100" s="879"/>
      <c r="P100" s="879"/>
      <c r="Q100" s="879"/>
      <c r="R100" s="879"/>
      <c r="T100" s="879"/>
      <c r="U100" s="879"/>
      <c r="V100" s="879"/>
    </row>
    <row r="101" spans="5:22" ht="12.75">
      <c r="E101" s="879"/>
      <c r="F101" s="879"/>
      <c r="G101" s="879"/>
      <c r="H101" s="879"/>
      <c r="I101" s="879"/>
      <c r="J101" s="879"/>
      <c r="K101" s="879"/>
      <c r="L101" s="879"/>
      <c r="M101" s="879"/>
      <c r="N101" s="879"/>
      <c r="O101" s="879"/>
      <c r="P101" s="879"/>
      <c r="Q101" s="879"/>
      <c r="R101" s="879"/>
      <c r="T101" s="879"/>
      <c r="U101" s="879"/>
      <c r="V101" s="879"/>
    </row>
    <row r="102" spans="5:22" ht="12.75">
      <c r="E102" s="879"/>
      <c r="F102" s="879"/>
      <c r="G102" s="879"/>
      <c r="H102" s="879"/>
      <c r="I102" s="879"/>
      <c r="J102" s="879"/>
      <c r="K102" s="879"/>
      <c r="L102" s="879"/>
      <c r="M102" s="879"/>
      <c r="N102" s="879"/>
      <c r="O102" s="879"/>
      <c r="P102" s="879"/>
      <c r="Q102" s="879"/>
      <c r="R102" s="879"/>
      <c r="T102" s="879"/>
      <c r="U102" s="879"/>
      <c r="V102" s="879"/>
    </row>
    <row r="103" spans="5:22" ht="12.75">
      <c r="E103" s="879"/>
      <c r="F103" s="879"/>
      <c r="G103" s="879"/>
      <c r="H103" s="879"/>
      <c r="I103" s="879"/>
      <c r="J103" s="879"/>
      <c r="K103" s="879"/>
      <c r="L103" s="879"/>
      <c r="M103" s="879"/>
      <c r="N103" s="879"/>
      <c r="O103" s="879"/>
      <c r="P103" s="879"/>
      <c r="Q103" s="879"/>
      <c r="R103" s="879"/>
      <c r="T103" s="879"/>
      <c r="U103" s="879"/>
      <c r="V103" s="879"/>
    </row>
    <row r="104" spans="5:22" ht="12.75">
      <c r="E104" s="879"/>
      <c r="F104" s="879"/>
      <c r="G104" s="879"/>
      <c r="H104" s="879"/>
      <c r="I104" s="879"/>
      <c r="J104" s="879"/>
      <c r="K104" s="879"/>
      <c r="L104" s="879"/>
      <c r="M104" s="879"/>
      <c r="N104" s="879"/>
      <c r="O104" s="879"/>
      <c r="P104" s="879"/>
      <c r="Q104" s="879"/>
      <c r="R104" s="879"/>
      <c r="T104" s="879"/>
      <c r="U104" s="879"/>
      <c r="V104" s="879"/>
    </row>
    <row r="105" spans="5:22" ht="12.75">
      <c r="E105" s="879"/>
      <c r="F105" s="879"/>
      <c r="G105" s="879"/>
      <c r="H105" s="879"/>
      <c r="I105" s="879"/>
      <c r="J105" s="879"/>
      <c r="K105" s="879"/>
      <c r="L105" s="879"/>
      <c r="M105" s="879"/>
      <c r="N105" s="879"/>
      <c r="O105" s="879"/>
      <c r="P105" s="879"/>
      <c r="Q105" s="879"/>
      <c r="R105" s="879"/>
      <c r="T105" s="879"/>
      <c r="U105" s="879"/>
      <c r="V105" s="879"/>
    </row>
    <row r="106" spans="5:22" ht="12.75">
      <c r="E106" s="879"/>
      <c r="F106" s="879"/>
      <c r="G106" s="879"/>
      <c r="H106" s="879"/>
      <c r="I106" s="879"/>
      <c r="J106" s="879"/>
      <c r="K106" s="879"/>
      <c r="L106" s="879"/>
      <c r="M106" s="879"/>
      <c r="N106" s="879"/>
      <c r="O106" s="879"/>
      <c r="P106" s="879"/>
      <c r="Q106" s="879"/>
      <c r="R106" s="879"/>
      <c r="T106" s="879"/>
      <c r="U106" s="879"/>
      <c r="V106" s="879"/>
    </row>
    <row r="107" spans="5:22" ht="12.75">
      <c r="E107" s="879"/>
      <c r="F107" s="879"/>
      <c r="G107" s="879"/>
      <c r="H107" s="879"/>
      <c r="I107" s="879"/>
      <c r="J107" s="879"/>
      <c r="K107" s="879"/>
      <c r="L107" s="879"/>
      <c r="M107" s="879"/>
      <c r="N107" s="879"/>
      <c r="O107" s="879"/>
      <c r="P107" s="879"/>
      <c r="Q107" s="879"/>
      <c r="R107" s="879"/>
      <c r="T107" s="879"/>
      <c r="U107" s="879"/>
      <c r="V107" s="879"/>
    </row>
    <row r="108" spans="5:22" ht="12.75">
      <c r="E108" s="879"/>
      <c r="F108" s="879"/>
      <c r="G108" s="879"/>
      <c r="H108" s="879"/>
      <c r="I108" s="879"/>
      <c r="J108" s="879"/>
      <c r="K108" s="879"/>
      <c r="L108" s="879"/>
      <c r="M108" s="879"/>
      <c r="N108" s="879"/>
      <c r="O108" s="879"/>
      <c r="P108" s="879"/>
      <c r="Q108" s="879"/>
      <c r="R108" s="879"/>
      <c r="T108" s="879"/>
      <c r="U108" s="879"/>
      <c r="V108" s="879"/>
    </row>
    <row r="109" spans="5:22" ht="12.75">
      <c r="E109" s="879"/>
      <c r="F109" s="879"/>
      <c r="G109" s="879"/>
      <c r="H109" s="879"/>
      <c r="I109" s="879"/>
      <c r="J109" s="879"/>
      <c r="K109" s="879"/>
      <c r="L109" s="879"/>
      <c r="M109" s="879"/>
      <c r="N109" s="879"/>
      <c r="O109" s="879"/>
      <c r="P109" s="879"/>
      <c r="Q109" s="879"/>
      <c r="R109" s="879"/>
      <c r="T109" s="879"/>
      <c r="U109" s="879"/>
      <c r="V109" s="879"/>
    </row>
    <row r="110" spans="5:22" ht="12.75">
      <c r="E110" s="879"/>
      <c r="F110" s="879"/>
      <c r="G110" s="879"/>
      <c r="H110" s="879"/>
      <c r="I110" s="879"/>
      <c r="J110" s="879"/>
      <c r="K110" s="879"/>
      <c r="L110" s="879"/>
      <c r="M110" s="879"/>
      <c r="N110" s="879"/>
      <c r="O110" s="879"/>
      <c r="P110" s="879"/>
      <c r="Q110" s="879"/>
      <c r="R110" s="879"/>
      <c r="T110" s="879"/>
      <c r="U110" s="879"/>
      <c r="V110" s="879"/>
    </row>
    <row r="111" spans="5:22" ht="12.75">
      <c r="E111" s="879"/>
      <c r="F111" s="879"/>
      <c r="G111" s="879"/>
      <c r="H111" s="879"/>
      <c r="I111" s="879"/>
      <c r="J111" s="879"/>
      <c r="K111" s="879"/>
      <c r="L111" s="879"/>
      <c r="M111" s="879"/>
      <c r="N111" s="879"/>
      <c r="O111" s="879"/>
      <c r="P111" s="879"/>
      <c r="Q111" s="879"/>
      <c r="R111" s="879"/>
      <c r="T111" s="879"/>
      <c r="U111" s="879"/>
      <c r="V111" s="879"/>
    </row>
    <row r="112" spans="5:22" ht="12.75">
      <c r="E112" s="879"/>
      <c r="F112" s="879"/>
      <c r="G112" s="879"/>
      <c r="H112" s="879"/>
      <c r="I112" s="879"/>
      <c r="J112" s="879"/>
      <c r="K112" s="879"/>
      <c r="L112" s="879"/>
      <c r="M112" s="879"/>
      <c r="N112" s="879"/>
      <c r="O112" s="879"/>
      <c r="P112" s="879"/>
      <c r="Q112" s="879"/>
      <c r="R112" s="879"/>
      <c r="T112" s="879"/>
      <c r="U112" s="879"/>
      <c r="V112" s="879"/>
    </row>
  </sheetData>
  <sheetProtection/>
  <mergeCells count="46">
    <mergeCell ref="S1:W1"/>
    <mergeCell ref="C21:D21"/>
    <mergeCell ref="C30:D30"/>
    <mergeCell ref="C31:D31"/>
    <mergeCell ref="C37:D37"/>
    <mergeCell ref="B33:D33"/>
    <mergeCell ref="C34:D34"/>
    <mergeCell ref="C35:D35"/>
    <mergeCell ref="C36:D36"/>
    <mergeCell ref="A3:S3"/>
    <mergeCell ref="A5:C5"/>
    <mergeCell ref="B7:D7"/>
    <mergeCell ref="B8:D8"/>
    <mergeCell ref="E5:K5"/>
    <mergeCell ref="L5:R5"/>
    <mergeCell ref="S5:Y5"/>
    <mergeCell ref="C9:D9"/>
    <mergeCell ref="C29:D29"/>
    <mergeCell ref="C32:D32"/>
    <mergeCell ref="C14:D14"/>
    <mergeCell ref="C17:D17"/>
    <mergeCell ref="B22:D22"/>
    <mergeCell ref="C23:D23"/>
    <mergeCell ref="C24:D24"/>
    <mergeCell ref="C25:D25"/>
    <mergeCell ref="C18:D18"/>
    <mergeCell ref="C38:D38"/>
    <mergeCell ref="B42:D42"/>
    <mergeCell ref="C43:D43"/>
    <mergeCell ref="A62:D62"/>
    <mergeCell ref="C48:D48"/>
    <mergeCell ref="C49:D49"/>
    <mergeCell ref="B50:D50"/>
    <mergeCell ref="C54:D54"/>
    <mergeCell ref="C55:D55"/>
    <mergeCell ref="C44:D44"/>
    <mergeCell ref="A63:D63"/>
    <mergeCell ref="C59:D59"/>
    <mergeCell ref="C51:D51"/>
    <mergeCell ref="C52:D52"/>
    <mergeCell ref="B61:D61"/>
    <mergeCell ref="C60:D60"/>
    <mergeCell ref="B56:D56"/>
    <mergeCell ref="B57:D57"/>
    <mergeCell ref="C58:D58"/>
    <mergeCell ref="B53:D5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zoomScale="70" zoomScaleNormal="70" zoomScalePageLayoutView="85" workbookViewId="0" topLeftCell="E1">
      <selection activeCell="V3" sqref="V3"/>
    </sheetView>
  </sheetViews>
  <sheetFormatPr defaultColWidth="9.140625" defaultRowHeight="12.75"/>
  <cols>
    <col min="1" max="1" width="5.8515625" style="79" customWidth="1"/>
    <col min="2" max="2" width="8.140625" style="86" customWidth="1"/>
    <col min="3" max="3" width="6.8515625" style="86" customWidth="1"/>
    <col min="4" max="4" width="50.140625" style="87" bestFit="1" customWidth="1"/>
    <col min="5" max="5" width="21.57421875" style="1" customWidth="1"/>
    <col min="6" max="6" width="18.421875" style="1" customWidth="1"/>
    <col min="7" max="7" width="17.00390625" style="1" customWidth="1"/>
    <col min="8" max="8" width="20.421875" style="1" customWidth="1"/>
    <col min="9" max="9" width="22.140625" style="1" hidden="1" customWidth="1"/>
    <col min="10" max="10" width="22.7109375" style="1" hidden="1" customWidth="1"/>
    <col min="11" max="11" width="11.8515625" style="1" hidden="1" customWidth="1"/>
    <col min="12" max="12" width="20.7109375" style="42" customWidth="1"/>
    <col min="13" max="13" width="16.421875" style="42" customWidth="1"/>
    <col min="14" max="14" width="18.28125" style="42" customWidth="1"/>
    <col min="15" max="15" width="15.7109375" style="42" customWidth="1"/>
    <col min="16" max="16" width="17.140625" style="42" hidden="1" customWidth="1"/>
    <col min="17" max="17" width="16.7109375" style="42" hidden="1" customWidth="1"/>
    <col min="18" max="18" width="10.8515625" style="42" hidden="1" customWidth="1"/>
    <col min="19" max="19" width="18.7109375" style="42" customWidth="1"/>
    <col min="20" max="20" width="18.28125" style="42" customWidth="1"/>
    <col min="21" max="21" width="15.7109375" style="1" customWidth="1"/>
    <col min="22" max="22" width="17.7109375" style="1" customWidth="1"/>
    <col min="23" max="23" width="19.140625" style="1" hidden="1" customWidth="1"/>
    <col min="24" max="24" width="15.421875" style="1" hidden="1" customWidth="1"/>
    <col min="25" max="25" width="10.28125" style="1" hidden="1" customWidth="1"/>
    <col min="26" max="26" width="9.140625" style="1" hidden="1" customWidth="1"/>
    <col min="27" max="27" width="9.140625" style="1" customWidth="1"/>
    <col min="28" max="28" width="16.421875" style="1" customWidth="1"/>
    <col min="29" max="16384" width="9.140625" style="1" customWidth="1"/>
  </cols>
  <sheetData>
    <row r="1" spans="5:23" ht="15.75">
      <c r="E1" s="1379" t="s">
        <v>502</v>
      </c>
      <c r="F1" s="1379"/>
      <c r="G1" s="1379"/>
      <c r="H1" s="1379"/>
      <c r="I1" s="1379"/>
      <c r="J1" s="1379"/>
      <c r="K1" s="1379"/>
      <c r="L1" s="1379"/>
      <c r="M1" s="1379"/>
      <c r="N1" s="1379"/>
      <c r="O1" s="1379"/>
      <c r="P1" s="1379"/>
      <c r="Q1" s="1379"/>
      <c r="R1" s="1379"/>
      <c r="S1" s="1379"/>
      <c r="T1" s="1379"/>
      <c r="U1" s="1379"/>
      <c r="V1" s="1379"/>
      <c r="W1" s="1379"/>
    </row>
    <row r="2" spans="5:23" ht="15.75">
      <c r="E2" s="1126"/>
      <c r="F2" s="1126"/>
      <c r="G2" s="1126"/>
      <c r="H2" s="1126"/>
      <c r="I2" s="1126"/>
      <c r="J2" s="1126"/>
      <c r="K2" s="1126"/>
      <c r="L2" s="1126"/>
      <c r="M2" s="1126"/>
      <c r="N2" s="1126"/>
      <c r="O2" s="1126"/>
      <c r="P2" s="1126"/>
      <c r="Q2" s="1126"/>
      <c r="R2" s="1126"/>
      <c r="S2" s="1126"/>
      <c r="T2" s="1126"/>
      <c r="U2" s="1126"/>
      <c r="V2" s="1126" t="s">
        <v>648</v>
      </c>
      <c r="W2" s="1126"/>
    </row>
    <row r="3" spans="1:20" ht="37.5" customHeight="1">
      <c r="A3" s="1380" t="s">
        <v>560</v>
      </c>
      <c r="B3" s="1380"/>
      <c r="C3" s="1380"/>
      <c r="D3" s="1380"/>
      <c r="E3" s="1380"/>
      <c r="F3" s="1380"/>
      <c r="G3" s="1380"/>
      <c r="H3" s="1380"/>
      <c r="I3" s="1380"/>
      <c r="J3" s="1380"/>
      <c r="K3" s="1380"/>
      <c r="L3" s="1380"/>
      <c r="M3" s="1380"/>
      <c r="N3" s="1380"/>
      <c r="O3" s="1380"/>
      <c r="P3" s="1380"/>
      <c r="Q3" s="1380"/>
      <c r="R3" s="1380"/>
      <c r="S3" s="1380"/>
      <c r="T3" s="197"/>
    </row>
    <row r="4" spans="1:19" ht="14.25" customHeight="1" thickBot="1">
      <c r="A4" s="50"/>
      <c r="B4" s="78"/>
      <c r="C4" s="78"/>
      <c r="D4" s="88"/>
      <c r="S4" s="94" t="s">
        <v>425</v>
      </c>
    </row>
    <row r="5" spans="1:25" s="2" customFormat="1" ht="48.75" customHeight="1" thickBot="1">
      <c r="A5" s="1348" t="s">
        <v>3</v>
      </c>
      <c r="B5" s="1311"/>
      <c r="C5" s="1311"/>
      <c r="D5" s="1311"/>
      <c r="E5" s="369" t="s">
        <v>4</v>
      </c>
      <c r="F5" s="328"/>
      <c r="G5" s="328"/>
      <c r="H5" s="329"/>
      <c r="I5" s="1213"/>
      <c r="J5" s="812"/>
      <c r="K5" s="248"/>
      <c r="L5" s="369" t="s">
        <v>58</v>
      </c>
      <c r="M5" s="328"/>
      <c r="N5" s="328"/>
      <c r="O5" s="329"/>
      <c r="P5" s="1213"/>
      <c r="Q5" s="812"/>
      <c r="R5" s="248"/>
      <c r="S5" s="1350" t="s">
        <v>59</v>
      </c>
      <c r="T5" s="1351"/>
      <c r="U5" s="1351"/>
      <c r="V5" s="1351"/>
      <c r="W5" s="1351"/>
      <c r="X5" s="1351"/>
      <c r="Y5" s="1352"/>
    </row>
    <row r="6" spans="1:25" s="2" customFormat="1" ht="16.5" thickBot="1">
      <c r="A6" s="245"/>
      <c r="B6" s="243"/>
      <c r="C6" s="243"/>
      <c r="D6" s="243"/>
      <c r="E6" s="327" t="s">
        <v>62</v>
      </c>
      <c r="F6" s="328" t="s">
        <v>215</v>
      </c>
      <c r="G6" s="328" t="s">
        <v>218</v>
      </c>
      <c r="H6" s="329" t="s">
        <v>220</v>
      </c>
      <c r="I6" s="1213" t="s">
        <v>232</v>
      </c>
      <c r="J6" s="754" t="s">
        <v>237</v>
      </c>
      <c r="K6" s="668" t="s">
        <v>224</v>
      </c>
      <c r="L6" s="327" t="s">
        <v>62</v>
      </c>
      <c r="M6" s="328" t="s">
        <v>215</v>
      </c>
      <c r="N6" s="328" t="s">
        <v>218</v>
      </c>
      <c r="O6" s="329" t="s">
        <v>220</v>
      </c>
      <c r="P6" s="1213" t="s">
        <v>232</v>
      </c>
      <c r="Q6" s="754" t="s">
        <v>237</v>
      </c>
      <c r="R6" s="668" t="s">
        <v>224</v>
      </c>
      <c r="S6" s="327" t="s">
        <v>62</v>
      </c>
      <c r="T6" s="328" t="s">
        <v>215</v>
      </c>
      <c r="U6" s="328" t="s">
        <v>218</v>
      </c>
      <c r="V6" s="328" t="s">
        <v>220</v>
      </c>
      <c r="W6" s="328" t="s">
        <v>232</v>
      </c>
      <c r="X6" s="328" t="s">
        <v>237</v>
      </c>
      <c r="Y6" s="826" t="s">
        <v>224</v>
      </c>
    </row>
    <row r="7" spans="1:28" s="41" customFormat="1" ht="22.5" customHeight="1" thickBot="1">
      <c r="A7" s="71" t="s">
        <v>26</v>
      </c>
      <c r="B7" s="1349" t="s">
        <v>75</v>
      </c>
      <c r="C7" s="1349"/>
      <c r="D7" s="1349"/>
      <c r="E7" s="296">
        <f aca="true" t="shared" si="0" ref="E7:J7">SUM(E8:E12)</f>
        <v>283397392</v>
      </c>
      <c r="F7" s="239">
        <f>SUM(F8:F12)</f>
        <v>291801250</v>
      </c>
      <c r="G7" s="239">
        <f>SUM(G8:G12)</f>
        <v>290353814</v>
      </c>
      <c r="H7" s="724">
        <f>SUM(H8:H12)</f>
        <v>417162370</v>
      </c>
      <c r="I7" s="1214">
        <f t="shared" si="0"/>
        <v>0</v>
      </c>
      <c r="J7" s="724">
        <f t="shared" si="0"/>
        <v>0</v>
      </c>
      <c r="K7" s="637">
        <f>I7/H7</f>
        <v>0</v>
      </c>
      <c r="L7" s="296">
        <f aca="true" t="shared" si="1" ref="L7:S7">SUM(L8:L12)</f>
        <v>257587020</v>
      </c>
      <c r="M7" s="239">
        <f>SUM(M8:M12)</f>
        <v>258380878</v>
      </c>
      <c r="N7" s="239">
        <f>SUM(N8:N12)</f>
        <v>256933442</v>
      </c>
      <c r="O7" s="724">
        <f>SUM(O8:O12)</f>
        <v>389002243</v>
      </c>
      <c r="P7" s="1135">
        <f t="shared" si="1"/>
        <v>-12560529</v>
      </c>
      <c r="Q7" s="296">
        <f t="shared" si="1"/>
        <v>392000</v>
      </c>
      <c r="R7" s="296">
        <f t="shared" si="1"/>
        <v>-6</v>
      </c>
      <c r="S7" s="296">
        <f t="shared" si="1"/>
        <v>25810372</v>
      </c>
      <c r="T7" s="239">
        <f>SUM(T8:T12)</f>
        <v>33420372</v>
      </c>
      <c r="U7" s="239">
        <f aca="true" t="shared" si="2" ref="U7:Z7">SUM(U8:U12)</f>
        <v>33420372</v>
      </c>
      <c r="V7" s="239">
        <f>SUM(V8:V12)</f>
        <v>28160127</v>
      </c>
      <c r="W7" s="239">
        <f t="shared" si="2"/>
        <v>14014529</v>
      </c>
      <c r="X7" s="239">
        <f t="shared" si="2"/>
        <v>0</v>
      </c>
      <c r="Y7" s="724">
        <f t="shared" si="2"/>
        <v>6</v>
      </c>
      <c r="Z7" s="1135">
        <f t="shared" si="2"/>
        <v>8.046900878380692</v>
      </c>
      <c r="AB7" s="876"/>
    </row>
    <row r="8" spans="1:28" s="5" customFormat="1" ht="22.5" customHeight="1">
      <c r="A8" s="70"/>
      <c r="B8" s="75" t="s">
        <v>34</v>
      </c>
      <c r="C8" s="75"/>
      <c r="D8" s="287" t="s">
        <v>0</v>
      </c>
      <c r="E8" s="330">
        <v>48707643</v>
      </c>
      <c r="F8" s="1153">
        <v>48707643</v>
      </c>
      <c r="G8" s="1153">
        <v>49868488</v>
      </c>
      <c r="H8" s="813">
        <v>47278937</v>
      </c>
      <c r="I8" s="1215"/>
      <c r="J8" s="725"/>
      <c r="K8" s="638"/>
      <c r="L8" s="297">
        <f aca="true" t="shared" si="3" ref="L8:O9">E8-S8</f>
        <v>45737643</v>
      </c>
      <c r="M8" s="241">
        <f t="shared" si="3"/>
        <v>45737643</v>
      </c>
      <c r="N8" s="241">
        <f t="shared" si="3"/>
        <v>46898488</v>
      </c>
      <c r="O8" s="725">
        <f t="shared" si="3"/>
        <v>44638937</v>
      </c>
      <c r="P8" s="1147">
        <f aca="true" t="shared" si="4" ref="P8:R9">I8</f>
        <v>0</v>
      </c>
      <c r="Q8" s="297">
        <f t="shared" si="4"/>
        <v>0</v>
      </c>
      <c r="R8" s="297">
        <f t="shared" si="4"/>
        <v>0</v>
      </c>
      <c r="S8" s="297">
        <v>2970000</v>
      </c>
      <c r="T8" s="241">
        <v>2970000</v>
      </c>
      <c r="U8" s="241">
        <v>2970000</v>
      </c>
      <c r="V8" s="241">
        <v>2640000</v>
      </c>
      <c r="W8" s="241">
        <v>0</v>
      </c>
      <c r="X8" s="241">
        <v>0</v>
      </c>
      <c r="Y8" s="725">
        <v>0</v>
      </c>
      <c r="Z8" s="1147">
        <v>0</v>
      </c>
      <c r="AB8" s="876"/>
    </row>
    <row r="9" spans="1:28" s="5" customFormat="1" ht="22.5" customHeight="1">
      <c r="A9" s="53"/>
      <c r="B9" s="62" t="s">
        <v>35</v>
      </c>
      <c r="C9" s="62"/>
      <c r="D9" s="288" t="s">
        <v>76</v>
      </c>
      <c r="E9" s="330">
        <v>8214106</v>
      </c>
      <c r="F9" s="1153">
        <v>8214106</v>
      </c>
      <c r="G9" s="1153">
        <v>8389106</v>
      </c>
      <c r="H9" s="813">
        <v>8011711</v>
      </c>
      <c r="I9" s="1215"/>
      <c r="J9" s="813"/>
      <c r="K9" s="738"/>
      <c r="L9" s="297">
        <f t="shared" si="3"/>
        <v>7694356</v>
      </c>
      <c r="M9" s="241">
        <f t="shared" si="3"/>
        <v>7694356</v>
      </c>
      <c r="N9" s="241">
        <f t="shared" si="3"/>
        <v>7869356</v>
      </c>
      <c r="O9" s="725">
        <f t="shared" si="3"/>
        <v>7569658</v>
      </c>
      <c r="P9" s="1147">
        <f t="shared" si="4"/>
        <v>0</v>
      </c>
      <c r="Q9" s="297">
        <f t="shared" si="4"/>
        <v>0</v>
      </c>
      <c r="R9" s="297">
        <f t="shared" si="4"/>
        <v>0</v>
      </c>
      <c r="S9" s="330">
        <v>519750</v>
      </c>
      <c r="T9" s="1153">
        <v>519750</v>
      </c>
      <c r="U9" s="1153">
        <v>519750</v>
      </c>
      <c r="V9" s="1153">
        <v>442053</v>
      </c>
      <c r="W9" s="1153">
        <v>0</v>
      </c>
      <c r="X9" s="1153">
        <v>0</v>
      </c>
      <c r="Y9" s="813">
        <v>0</v>
      </c>
      <c r="Z9" s="1150">
        <v>0</v>
      </c>
      <c r="AB9" s="876"/>
    </row>
    <row r="10" spans="1:28" s="5" customFormat="1" ht="22.5" customHeight="1">
      <c r="A10" s="53"/>
      <c r="B10" s="62" t="s">
        <v>36</v>
      </c>
      <c r="C10" s="62"/>
      <c r="D10" s="288" t="s">
        <v>77</v>
      </c>
      <c r="E10" s="330">
        <v>72685991</v>
      </c>
      <c r="F10" s="1153">
        <v>73355791</v>
      </c>
      <c r="G10" s="1153">
        <v>73546030</v>
      </c>
      <c r="H10" s="813">
        <v>202930067</v>
      </c>
      <c r="I10" s="1215"/>
      <c r="J10" s="813"/>
      <c r="K10" s="738"/>
      <c r="L10" s="330">
        <f>'7.sz.m.Dologi kiadás (3)'!K43</f>
        <v>57314812</v>
      </c>
      <c r="M10" s="1153">
        <f>'7.sz.m.Dologi kiadás (3)'!L43</f>
        <v>57984612</v>
      </c>
      <c r="N10" s="1153">
        <f>'7.sz.m.Dologi kiadás (3)'!M43</f>
        <v>58174851</v>
      </c>
      <c r="O10" s="813">
        <f>'7.sz.m.Dologi kiadás (3)'!N43</f>
        <v>190692808</v>
      </c>
      <c r="P10" s="1150">
        <f>'7.sz.m.Dologi kiadás (3)'!O43</f>
        <v>0</v>
      </c>
      <c r="Q10" s="330">
        <f>'7.sz.m.Dologi kiadás (3)'!P43</f>
        <v>0</v>
      </c>
      <c r="R10" s="330">
        <f>'7.sz.m.Dologi kiadás (3)'!Q43</f>
        <v>0</v>
      </c>
      <c r="S10" s="330">
        <f>'7.sz.m.Dologi kiadás (3)'!R43</f>
        <v>15371179</v>
      </c>
      <c r="T10" s="1153">
        <f>'7.sz.m.Dologi kiadás (3)'!S43</f>
        <v>15371179</v>
      </c>
      <c r="U10" s="1153">
        <f>'7.sz.m.Dologi kiadás (3)'!T43</f>
        <v>15371179</v>
      </c>
      <c r="V10" s="1153">
        <f>'7.sz.m.Dologi kiadás (3)'!U43</f>
        <v>12237259</v>
      </c>
      <c r="W10" s="1153">
        <f>'7.sz.m.Dologi kiadás (3)'!V43</f>
        <v>0</v>
      </c>
      <c r="X10" s="1153">
        <f>'7.sz.m.Dologi kiadás (3)'!W43</f>
        <v>0</v>
      </c>
      <c r="Y10" s="813">
        <f>'7.sz.m.Dologi kiadás (3)'!X43</f>
        <v>0</v>
      </c>
      <c r="Z10" s="1150">
        <f>'7.sz.m.Dologi kiadás (3)'!Y43</f>
        <v>0</v>
      </c>
      <c r="AB10" s="876"/>
    </row>
    <row r="11" spans="1:28" s="5" customFormat="1" ht="22.5" customHeight="1">
      <c r="A11" s="53"/>
      <c r="B11" s="62" t="s">
        <v>47</v>
      </c>
      <c r="C11" s="62"/>
      <c r="D11" s="288" t="s">
        <v>78</v>
      </c>
      <c r="E11" s="292">
        <v>2250000</v>
      </c>
      <c r="F11" s="1232">
        <v>2250000</v>
      </c>
      <c r="G11" s="1232">
        <v>2250000</v>
      </c>
      <c r="H11" s="814">
        <v>2282000</v>
      </c>
      <c r="I11" s="1216"/>
      <c r="J11" s="814"/>
      <c r="K11" s="739"/>
      <c r="L11" s="292">
        <f>SUM('8.sz.m.szociális kiadások (2)'!C11:C16)</f>
        <v>2250000</v>
      </c>
      <c r="M11" s="1232">
        <f>SUM('8.sz.m.szociális kiadások (2)'!D11:D16)</f>
        <v>2250000</v>
      </c>
      <c r="N11" s="1232">
        <f>SUM('8.sz.m.szociális kiadások (2)'!E11:E16)</f>
        <v>2250000</v>
      </c>
      <c r="O11" s="814">
        <f>SUM('8.sz.m.szociális kiadások (2)'!F11:F16)</f>
        <v>2282000</v>
      </c>
      <c r="P11" s="1228">
        <f>'8.sz.m.szociális kiadások (2)'!G17+'8.sz.m.szociális kiadások (2)'!G19</f>
        <v>0</v>
      </c>
      <c r="Q11" s="292">
        <f>+'8.sz.m.szociális kiadások (2)'!H22+'8.sz.m.szociális kiadások (2)'!H37</f>
        <v>392000</v>
      </c>
      <c r="R11" s="292">
        <f>'8.sz.m.szociális kiadások (2)'!I17+'8.sz.m.szociális kiadások (2)'!I19</f>
        <v>0</v>
      </c>
      <c r="S11" s="292"/>
      <c r="T11" s="1232"/>
      <c r="U11" s="1232"/>
      <c r="V11" s="1232"/>
      <c r="W11" s="1232">
        <f>SUM('8.sz.m.szociális kiadások (2)'!G11:G16)</f>
        <v>1454000</v>
      </c>
      <c r="X11" s="1232"/>
      <c r="Y11" s="814">
        <f>SUM('8.sz.m.szociális kiadások (2)'!I11:I16)</f>
        <v>0</v>
      </c>
      <c r="Z11" s="1228">
        <f>SUM('8.sz.m.szociális kiadások (2)'!J11:J16)</f>
        <v>0</v>
      </c>
      <c r="AB11" s="876"/>
    </row>
    <row r="12" spans="1:28" s="5" customFormat="1" ht="22.5" customHeight="1">
      <c r="A12" s="53"/>
      <c r="B12" s="62" t="s">
        <v>48</v>
      </c>
      <c r="C12" s="62"/>
      <c r="D12" s="289" t="s">
        <v>80</v>
      </c>
      <c r="E12" s="330">
        <f aca="true" t="shared" si="5" ref="E12:J12">SUM(E13:E17)</f>
        <v>151539652</v>
      </c>
      <c r="F12" s="1153">
        <f>SUM(F13:F17)</f>
        <v>159273710</v>
      </c>
      <c r="G12" s="1153">
        <f>SUM(G13:G17)</f>
        <v>156300190</v>
      </c>
      <c r="H12" s="813">
        <f>SUM(H13:H17)</f>
        <v>156659655</v>
      </c>
      <c r="I12" s="1215">
        <f t="shared" si="5"/>
        <v>0</v>
      </c>
      <c r="J12" s="813">
        <f t="shared" si="5"/>
        <v>0</v>
      </c>
      <c r="K12" s="738">
        <f>I12/H12</f>
        <v>0</v>
      </c>
      <c r="L12" s="330">
        <f aca="true" t="shared" si="6" ref="L12:R12">E12-S12</f>
        <v>144590209</v>
      </c>
      <c r="M12" s="1153">
        <f t="shared" si="6"/>
        <v>144714267</v>
      </c>
      <c r="N12" s="1153">
        <f t="shared" si="6"/>
        <v>141740747</v>
      </c>
      <c r="O12" s="813">
        <f t="shared" si="6"/>
        <v>143818840</v>
      </c>
      <c r="P12" s="1150">
        <f t="shared" si="6"/>
        <v>-12560529</v>
      </c>
      <c r="Q12" s="330">
        <f t="shared" si="6"/>
        <v>0</v>
      </c>
      <c r="R12" s="330">
        <f t="shared" si="6"/>
        <v>-6</v>
      </c>
      <c r="S12" s="330">
        <f aca="true" t="shared" si="7" ref="S12:Z12">SUM(S13:S17)</f>
        <v>6949443</v>
      </c>
      <c r="T12" s="1153">
        <f>SUM(T13:T17)</f>
        <v>14559443</v>
      </c>
      <c r="U12" s="1153">
        <f>SUM(U13:U17)</f>
        <v>14559443</v>
      </c>
      <c r="V12" s="1153">
        <f>SUM(V13:V17)</f>
        <v>12840815</v>
      </c>
      <c r="W12" s="1153">
        <f t="shared" si="7"/>
        <v>12560529</v>
      </c>
      <c r="X12" s="1153">
        <f t="shared" si="7"/>
        <v>0</v>
      </c>
      <c r="Y12" s="813">
        <f t="shared" si="7"/>
        <v>6</v>
      </c>
      <c r="Z12" s="1150">
        <f t="shared" si="7"/>
        <v>8.046900878380692</v>
      </c>
      <c r="AB12" s="876"/>
    </row>
    <row r="13" spans="1:28" s="5" customFormat="1" ht="22.5" customHeight="1">
      <c r="A13" s="53"/>
      <c r="B13" s="85"/>
      <c r="C13" s="62" t="s">
        <v>79</v>
      </c>
      <c r="D13" s="290" t="s">
        <v>261</v>
      </c>
      <c r="E13" s="292"/>
      <c r="F13" s="1232">
        <v>124058</v>
      </c>
      <c r="G13" s="1232">
        <v>124058</v>
      </c>
      <c r="H13" s="814">
        <v>124058</v>
      </c>
      <c r="I13" s="1216"/>
      <c r="J13" s="814"/>
      <c r="K13" s="739"/>
      <c r="L13" s="297">
        <f aca="true" t="shared" si="8" ref="L13:R13">E13</f>
        <v>0</v>
      </c>
      <c r="M13" s="241">
        <f t="shared" si="8"/>
        <v>124058</v>
      </c>
      <c r="N13" s="241">
        <f t="shared" si="8"/>
        <v>124058</v>
      </c>
      <c r="O13" s="725">
        <f t="shared" si="8"/>
        <v>124058</v>
      </c>
      <c r="P13" s="1147">
        <f t="shared" si="8"/>
        <v>0</v>
      </c>
      <c r="Q13" s="297">
        <f t="shared" si="8"/>
        <v>0</v>
      </c>
      <c r="R13" s="297">
        <f t="shared" si="8"/>
        <v>0</v>
      </c>
      <c r="S13" s="292">
        <v>0</v>
      </c>
      <c r="T13" s="1232">
        <v>0</v>
      </c>
      <c r="U13" s="1232">
        <v>0</v>
      </c>
      <c r="V13" s="1232">
        <v>0</v>
      </c>
      <c r="W13" s="1232">
        <v>4</v>
      </c>
      <c r="X13" s="1232">
        <v>0</v>
      </c>
      <c r="Y13" s="814">
        <v>6</v>
      </c>
      <c r="Z13" s="1228">
        <v>7</v>
      </c>
      <c r="AB13" s="876"/>
    </row>
    <row r="14" spans="1:28" s="5" customFormat="1" ht="31.5" customHeight="1">
      <c r="A14" s="53"/>
      <c r="B14" s="62"/>
      <c r="C14" s="62" t="s">
        <v>81</v>
      </c>
      <c r="D14" s="288" t="s">
        <v>262</v>
      </c>
      <c r="E14" s="292">
        <v>5574495</v>
      </c>
      <c r="F14" s="1232">
        <v>13184495</v>
      </c>
      <c r="G14" s="1232">
        <v>13184495</v>
      </c>
      <c r="H14" s="814">
        <v>12608525</v>
      </c>
      <c r="I14" s="1216"/>
      <c r="J14" s="814"/>
      <c r="K14" s="739"/>
      <c r="L14" s="292">
        <f>'9.sz.m.átadott pe (3)'!B63</f>
        <v>0</v>
      </c>
      <c r="M14" s="1232">
        <f>'9.sz.m.átadott pe (3)'!C63</f>
        <v>0</v>
      </c>
      <c r="N14" s="1232">
        <f>'9.sz.m.átadott pe (3)'!D63</f>
        <v>0</v>
      </c>
      <c r="O14" s="814">
        <f>'9.sz.m.átadott pe (3)'!E63</f>
        <v>0</v>
      </c>
      <c r="P14" s="1228">
        <f>'9.sz.m.átadott pe (3)'!F63</f>
        <v>0</v>
      </c>
      <c r="Q14" s="292">
        <f>'9.sz.m.átadott pe (3)'!G63</f>
        <v>0</v>
      </c>
      <c r="R14" s="292">
        <f>'9.sz.m.átadott pe (3)'!H63</f>
        <v>0</v>
      </c>
      <c r="S14" s="292">
        <f>'9.sz.m.átadott pe (3)'!I63</f>
        <v>5574495</v>
      </c>
      <c r="T14" s="1232">
        <f>'9.sz.m.átadott pe (3)'!J63</f>
        <v>13184495</v>
      </c>
      <c r="U14" s="1232">
        <f>'9.sz.m.átadott pe (3)'!K63</f>
        <v>13184495</v>
      </c>
      <c r="V14" s="1232">
        <f>'9.sz.m.átadott pe (3)'!L63</f>
        <v>12608525</v>
      </c>
      <c r="W14" s="1232">
        <f>'9.sz.m.átadott pe (3)'!M63</f>
        <v>12548525</v>
      </c>
      <c r="X14" s="1232">
        <f>'9.sz.m.átadott pe (3)'!N63</f>
        <v>0</v>
      </c>
      <c r="Y14" s="814">
        <f>'9.sz.m.átadott pe (3)'!O63</f>
        <v>0</v>
      </c>
      <c r="Z14" s="1228">
        <f>'9.sz.m.átadott pe (3)'!P63</f>
        <v>0.9952413149040035</v>
      </c>
      <c r="AB14" s="876"/>
    </row>
    <row r="15" spans="1:28" s="5" customFormat="1" ht="36.75" customHeight="1" thickBot="1">
      <c r="A15" s="81"/>
      <c r="B15" s="82"/>
      <c r="C15" s="62" t="s">
        <v>82</v>
      </c>
      <c r="D15" s="288" t="s">
        <v>263</v>
      </c>
      <c r="E15" s="292">
        <v>145965157</v>
      </c>
      <c r="F15" s="1232">
        <v>145965157</v>
      </c>
      <c r="G15" s="1232">
        <v>142991637</v>
      </c>
      <c r="H15" s="814">
        <v>143927072</v>
      </c>
      <c r="I15" s="1216"/>
      <c r="J15" s="814"/>
      <c r="K15" s="739"/>
      <c r="L15" s="292">
        <f>'9.sz.m.átadott pe (3)'!B91</f>
        <v>144590209</v>
      </c>
      <c r="M15" s="1232">
        <f>'9.sz.m.átadott pe (3)'!C91</f>
        <v>144590209</v>
      </c>
      <c r="N15" s="1232">
        <f>'9.sz.m.átadott pe (3)'!D91</f>
        <v>141616689</v>
      </c>
      <c r="O15" s="814">
        <f>'9.sz.m.átadott pe (3)'!E91</f>
        <v>143694782</v>
      </c>
      <c r="P15" s="1228">
        <f>'9.sz.m.átadott pe (3)'!F91</f>
        <v>348530</v>
      </c>
      <c r="Q15" s="292">
        <f>'9.sz.m.átadott pe (3)'!G91</f>
        <v>348660</v>
      </c>
      <c r="R15" s="292">
        <f>'9.sz.m.átadott pe (3)'!H91</f>
        <v>0.002425488212926201</v>
      </c>
      <c r="S15" s="292">
        <f>'9.sz.m.átadott pe (3)'!I91</f>
        <v>1374948</v>
      </c>
      <c r="T15" s="1232">
        <f>'9.sz.m.átadott pe (3)'!J91</f>
        <v>1374948</v>
      </c>
      <c r="U15" s="1232">
        <f>'9.sz.m.átadott pe (3)'!K91</f>
        <v>1374948</v>
      </c>
      <c r="V15" s="1232">
        <f>'9.sz.m.átadott pe (3)'!L91</f>
        <v>232290</v>
      </c>
      <c r="W15" s="1232">
        <f>'9.sz.m.átadott pe (3)'!M91</f>
        <v>12000</v>
      </c>
      <c r="X15" s="1232">
        <f>'9.sz.m.átadott pe (3)'!N91</f>
        <v>0</v>
      </c>
      <c r="Y15" s="814">
        <f>'9.sz.m.átadott pe (3)'!O91</f>
        <v>0</v>
      </c>
      <c r="Z15" s="1228">
        <f>'9.sz.m.átadott pe (3)'!P91</f>
        <v>0.051659563476688625</v>
      </c>
      <c r="AB15" s="876"/>
    </row>
    <row r="16" spans="1:28" s="5" customFormat="1" ht="22.5" customHeight="1" hidden="1">
      <c r="A16" s="53"/>
      <c r="B16" s="62"/>
      <c r="C16" s="62" t="s">
        <v>85</v>
      </c>
      <c r="D16" s="288" t="s">
        <v>87</v>
      </c>
      <c r="E16" s="330"/>
      <c r="F16" s="1153"/>
      <c r="G16" s="1153"/>
      <c r="H16" s="813"/>
      <c r="I16" s="1215"/>
      <c r="J16" s="813"/>
      <c r="K16" s="738" t="e">
        <f>I16/H16</f>
        <v>#DIV/0!</v>
      </c>
      <c r="L16" s="330"/>
      <c r="M16" s="1153"/>
      <c r="N16" s="1153"/>
      <c r="O16" s="813"/>
      <c r="P16" s="1150"/>
      <c r="Q16" s="330"/>
      <c r="R16" s="330"/>
      <c r="S16" s="330"/>
      <c r="T16" s="1153"/>
      <c r="U16" s="1153"/>
      <c r="V16" s="1153"/>
      <c r="W16" s="1153"/>
      <c r="X16" s="1153"/>
      <c r="Y16" s="813"/>
      <c r="Z16" s="1150"/>
      <c r="AB16" s="876"/>
    </row>
    <row r="17" spans="1:28" s="5" customFormat="1" ht="22.5" customHeight="1" hidden="1" thickBot="1">
      <c r="A17" s="89"/>
      <c r="B17" s="76"/>
      <c r="C17" s="76" t="s">
        <v>86</v>
      </c>
      <c r="D17" s="291" t="s">
        <v>88</v>
      </c>
      <c r="E17" s="302"/>
      <c r="F17" s="92"/>
      <c r="G17" s="92"/>
      <c r="H17" s="729"/>
      <c r="I17" s="1217"/>
      <c r="J17" s="729"/>
      <c r="K17" s="641" t="e">
        <f>I17/H17</f>
        <v>#DIV/0!</v>
      </c>
      <c r="L17" s="302"/>
      <c r="M17" s="92"/>
      <c r="N17" s="92"/>
      <c r="O17" s="729"/>
      <c r="P17" s="1149"/>
      <c r="Q17" s="302"/>
      <c r="R17" s="302"/>
      <c r="S17" s="302"/>
      <c r="T17" s="92"/>
      <c r="U17" s="92"/>
      <c r="V17" s="92"/>
      <c r="W17" s="92"/>
      <c r="X17" s="92"/>
      <c r="Y17" s="729"/>
      <c r="Z17" s="1149"/>
      <c r="AB17" s="876"/>
    </row>
    <row r="18" spans="1:26" s="5" customFormat="1" ht="22.5" customHeight="1" thickBot="1">
      <c r="A18" s="71" t="s">
        <v>27</v>
      </c>
      <c r="B18" s="1349" t="s">
        <v>89</v>
      </c>
      <c r="C18" s="1349"/>
      <c r="D18" s="1349"/>
      <c r="E18" s="298">
        <f aca="true" t="shared" si="9" ref="E18:J18">SUM(E19:E21)</f>
        <v>263047442</v>
      </c>
      <c r="F18" s="40">
        <f>SUM(F19:F21)</f>
        <v>249787015</v>
      </c>
      <c r="G18" s="40">
        <f>SUM(G19:G21)</f>
        <v>259771744</v>
      </c>
      <c r="H18" s="726">
        <f>SUM(H19:H21)</f>
        <v>301049156</v>
      </c>
      <c r="I18" s="1218">
        <f t="shared" si="9"/>
        <v>0</v>
      </c>
      <c r="J18" s="726">
        <f t="shared" si="9"/>
        <v>0</v>
      </c>
      <c r="K18" s="639">
        <f>I18/H18</f>
        <v>0</v>
      </c>
      <c r="L18" s="298">
        <f aca="true" t="shared" si="10" ref="L18:S18">SUM(L19:L21)</f>
        <v>254980935</v>
      </c>
      <c r="M18" s="40">
        <f>SUM(M19:M21)</f>
        <v>241370729</v>
      </c>
      <c r="N18" s="40">
        <f>SUM(N19:N21)</f>
        <v>251355458</v>
      </c>
      <c r="O18" s="726">
        <f>SUM(O19:O21)</f>
        <v>292162710</v>
      </c>
      <c r="P18" s="1137" t="e">
        <f t="shared" si="10"/>
        <v>#REF!</v>
      </c>
      <c r="Q18" s="298" t="e">
        <f t="shared" si="10"/>
        <v>#REF!</v>
      </c>
      <c r="R18" s="298" t="e">
        <f t="shared" si="10"/>
        <v>#REF!</v>
      </c>
      <c r="S18" s="298">
        <f t="shared" si="10"/>
        <v>8066507</v>
      </c>
      <c r="T18" s="40">
        <f aca="true" t="shared" si="11" ref="T18:Z18">SUM(T19:T21)</f>
        <v>8416286</v>
      </c>
      <c r="U18" s="40">
        <f t="shared" si="11"/>
        <v>8416286</v>
      </c>
      <c r="V18" s="40">
        <f>SUM(V19:V21)</f>
        <v>8886446</v>
      </c>
      <c r="W18" s="40">
        <f t="shared" si="11"/>
        <v>4870000</v>
      </c>
      <c r="X18" s="40">
        <f t="shared" si="11"/>
        <v>0</v>
      </c>
      <c r="Y18" s="726" t="e">
        <f t="shared" si="11"/>
        <v>#DIV/0!</v>
      </c>
      <c r="Z18" s="1137">
        <f t="shared" si="11"/>
        <v>0</v>
      </c>
    </row>
    <row r="19" spans="1:26" s="5" customFormat="1" ht="22.5" customHeight="1">
      <c r="A19" s="70"/>
      <c r="B19" s="75" t="s">
        <v>37</v>
      </c>
      <c r="C19" s="1354" t="s">
        <v>90</v>
      </c>
      <c r="D19" s="1354"/>
      <c r="E19" s="297">
        <v>60716012</v>
      </c>
      <c r="F19" s="241">
        <v>58497536</v>
      </c>
      <c r="G19" s="241">
        <v>65939917</v>
      </c>
      <c r="H19" s="725">
        <v>79046976</v>
      </c>
      <c r="I19" s="1219"/>
      <c r="J19" s="725"/>
      <c r="K19" s="638"/>
      <c r="L19" s="297">
        <f aca="true" t="shared" si="12" ref="L19:O20">+E19-S19</f>
        <v>60716012</v>
      </c>
      <c r="M19" s="241">
        <f t="shared" si="12"/>
        <v>58307876</v>
      </c>
      <c r="N19" s="241">
        <f t="shared" si="12"/>
        <v>65750257</v>
      </c>
      <c r="O19" s="725">
        <f t="shared" si="12"/>
        <v>78457156</v>
      </c>
      <c r="P19" s="1147" t="e">
        <f>#REF!</f>
        <v>#REF!</v>
      </c>
      <c r="Q19" s="297" t="e">
        <f>#REF!</f>
        <v>#REF!</v>
      </c>
      <c r="R19" s="297" t="e">
        <f>#REF!</f>
        <v>#REF!</v>
      </c>
      <c r="S19" s="297">
        <f>+'6.a.sz.m.fejlesztés (4)'!D13</f>
        <v>0</v>
      </c>
      <c r="T19" s="241">
        <f>+'6.a.sz.m.fejlesztés (4)'!E13</f>
        <v>189660</v>
      </c>
      <c r="U19" s="241">
        <f>+'6.a.sz.m.fejlesztés (4)'!F13</f>
        <v>189660</v>
      </c>
      <c r="V19" s="241">
        <f>+'6.a.sz.m.fejlesztés (4)'!G9</f>
        <v>589820</v>
      </c>
      <c r="W19" s="241">
        <v>0</v>
      </c>
      <c r="X19" s="241">
        <v>0</v>
      </c>
      <c r="Y19" s="725">
        <v>0</v>
      </c>
      <c r="Z19" s="1147">
        <v>0</v>
      </c>
    </row>
    <row r="20" spans="1:26" s="5" customFormat="1" ht="22.5" customHeight="1">
      <c r="A20" s="53"/>
      <c r="B20" s="62" t="s">
        <v>38</v>
      </c>
      <c r="C20" s="1355" t="s">
        <v>91</v>
      </c>
      <c r="D20" s="1355"/>
      <c r="E20" s="292">
        <v>196331430</v>
      </c>
      <c r="F20" s="1232">
        <v>185289479</v>
      </c>
      <c r="G20" s="1232">
        <v>187831827</v>
      </c>
      <c r="H20" s="814">
        <v>215932180</v>
      </c>
      <c r="I20" s="1216"/>
      <c r="J20" s="814"/>
      <c r="K20" s="739"/>
      <c r="L20" s="297">
        <f t="shared" si="12"/>
        <v>194264923</v>
      </c>
      <c r="M20" s="241">
        <f t="shared" si="12"/>
        <v>183062853</v>
      </c>
      <c r="N20" s="241">
        <f t="shared" si="12"/>
        <v>185605201</v>
      </c>
      <c r="O20" s="725">
        <f t="shared" si="12"/>
        <v>213705554</v>
      </c>
      <c r="P20" s="1228" t="e">
        <f>#REF!</f>
        <v>#REF!</v>
      </c>
      <c r="Q20" s="292" t="e">
        <f>#REF!</f>
        <v>#REF!</v>
      </c>
      <c r="R20" s="292" t="e">
        <f>#REF!</f>
        <v>#REF!</v>
      </c>
      <c r="S20" s="292">
        <f>+'6.a.sz.m.fejlesztés (4)'!D33</f>
        <v>2066507</v>
      </c>
      <c r="T20" s="1232">
        <f>+'6.a.sz.m.fejlesztés (4)'!E33</f>
        <v>2226626</v>
      </c>
      <c r="U20" s="1232">
        <f>+'6.a.sz.m.fejlesztés (4)'!F33</f>
        <v>2226626</v>
      </c>
      <c r="V20" s="1232">
        <f>+'6.a.sz.m.fejlesztés (4)'!G33</f>
        <v>2226626</v>
      </c>
      <c r="W20" s="1232">
        <v>0</v>
      </c>
      <c r="X20" s="1232">
        <v>0</v>
      </c>
      <c r="Y20" s="814">
        <v>0</v>
      </c>
      <c r="Z20" s="1228">
        <v>0</v>
      </c>
    </row>
    <row r="21" spans="1:26" s="5" customFormat="1" ht="22.5" customHeight="1">
      <c r="A21" s="83"/>
      <c r="B21" s="62" t="s">
        <v>39</v>
      </c>
      <c r="C21" s="1346" t="s">
        <v>92</v>
      </c>
      <c r="D21" s="1346"/>
      <c r="E21" s="330">
        <f aca="true" t="shared" si="13" ref="E21:L21">SUM(E22:E25)</f>
        <v>6000000</v>
      </c>
      <c r="F21" s="1153">
        <f>SUM(F22:F25)</f>
        <v>6000000</v>
      </c>
      <c r="G21" s="1153">
        <f>SUM(G22:G25)</f>
        <v>6000000</v>
      </c>
      <c r="H21" s="813">
        <f>SUM(H22:H25)</f>
        <v>6070000</v>
      </c>
      <c r="I21" s="1215">
        <f t="shared" si="13"/>
        <v>0</v>
      </c>
      <c r="J21" s="813">
        <f t="shared" si="13"/>
        <v>0</v>
      </c>
      <c r="K21" s="330">
        <f t="shared" si="13"/>
        <v>0</v>
      </c>
      <c r="L21" s="330">
        <f t="shared" si="13"/>
        <v>0</v>
      </c>
      <c r="M21" s="1153">
        <f aca="true" t="shared" si="14" ref="M21:T21">SUM(M22:M25)</f>
        <v>0</v>
      </c>
      <c r="N21" s="1153">
        <f>SUM(N22:N25)</f>
        <v>0</v>
      </c>
      <c r="O21" s="813">
        <f>SUM(O22:O25)</f>
        <v>0</v>
      </c>
      <c r="P21" s="1150">
        <f t="shared" si="14"/>
        <v>-4870000</v>
      </c>
      <c r="Q21" s="330">
        <f t="shared" si="14"/>
        <v>0</v>
      </c>
      <c r="R21" s="330" t="e">
        <f t="shared" si="14"/>
        <v>#DIV/0!</v>
      </c>
      <c r="S21" s="330">
        <f t="shared" si="14"/>
        <v>6000000</v>
      </c>
      <c r="T21" s="1153">
        <f t="shared" si="14"/>
        <v>6000000</v>
      </c>
      <c r="U21" s="1153">
        <f aca="true" t="shared" si="15" ref="U21:Z21">SUM(U22:U25)</f>
        <v>6000000</v>
      </c>
      <c r="V21" s="1153">
        <f>SUM(V22:V25)</f>
        <v>6070000</v>
      </c>
      <c r="W21" s="1153">
        <f t="shared" si="15"/>
        <v>4870000</v>
      </c>
      <c r="X21" s="1153">
        <f t="shared" si="15"/>
        <v>0</v>
      </c>
      <c r="Y21" s="813" t="e">
        <f t="shared" si="15"/>
        <v>#DIV/0!</v>
      </c>
      <c r="Z21" s="1150">
        <f t="shared" si="15"/>
        <v>0</v>
      </c>
    </row>
    <row r="22" spans="1:26" s="5" customFormat="1" ht="22.5" customHeight="1">
      <c r="A22" s="59"/>
      <c r="B22" s="63"/>
      <c r="C22" s="63" t="s">
        <v>93</v>
      </c>
      <c r="D22" s="199" t="s">
        <v>83</v>
      </c>
      <c r="E22" s="292">
        <v>6000000</v>
      </c>
      <c r="F22" s="1232">
        <v>6000000</v>
      </c>
      <c r="G22" s="1232">
        <v>6000000</v>
      </c>
      <c r="H22" s="814">
        <v>6070000</v>
      </c>
      <c r="I22" s="1216"/>
      <c r="J22" s="814"/>
      <c r="K22" s="739"/>
      <c r="L22" s="330">
        <f aca="true" t="shared" si="16" ref="L22:R22">E22-S22</f>
        <v>0</v>
      </c>
      <c r="M22" s="1153">
        <f t="shared" si="16"/>
        <v>0</v>
      </c>
      <c r="N22" s="1153">
        <f t="shared" si="16"/>
        <v>0</v>
      </c>
      <c r="O22" s="813">
        <f t="shared" si="16"/>
        <v>0</v>
      </c>
      <c r="P22" s="1150">
        <f t="shared" si="16"/>
        <v>-4870000</v>
      </c>
      <c r="Q22" s="330">
        <f t="shared" si="16"/>
        <v>0</v>
      </c>
      <c r="R22" s="330" t="e">
        <f t="shared" si="16"/>
        <v>#DIV/0!</v>
      </c>
      <c r="S22" s="292">
        <f>'9.sz.m.átadott pe (3)'!V63</f>
        <v>6000000</v>
      </c>
      <c r="T22" s="1232">
        <f>'9.sz.m.átadott pe (3)'!W63</f>
        <v>6000000</v>
      </c>
      <c r="U22" s="1232">
        <f>'9.sz.m.átadott pe (3)'!X63</f>
        <v>6000000</v>
      </c>
      <c r="V22" s="1232">
        <f>'9.sz.m.átadott pe (3)'!Y63</f>
        <v>6070000</v>
      </c>
      <c r="W22" s="1232">
        <f>'9.sz.m.átadott pe (3)'!Z63</f>
        <v>4870000</v>
      </c>
      <c r="X22" s="1232">
        <f>'9.sz.m.átadott pe (3)'!AA63</f>
        <v>0</v>
      </c>
      <c r="Y22" s="814" t="e">
        <f>'9.sz.m.átadott pe (3)'!AB63</f>
        <v>#DIV/0!</v>
      </c>
      <c r="Z22" s="1228">
        <f>'9.sz.m.átadott pe (3)'!AC63</f>
        <v>0</v>
      </c>
    </row>
    <row r="23" spans="1:26" s="5" customFormat="1" ht="22.5" customHeight="1">
      <c r="A23" s="59"/>
      <c r="B23" s="63"/>
      <c r="C23" s="63" t="s">
        <v>94</v>
      </c>
      <c r="D23" s="199" t="s">
        <v>84</v>
      </c>
      <c r="E23" s="292"/>
      <c r="F23" s="1232"/>
      <c r="G23" s="1232"/>
      <c r="H23" s="814"/>
      <c r="I23" s="1216"/>
      <c r="J23" s="814"/>
      <c r="K23" s="739"/>
      <c r="L23" s="292">
        <v>0</v>
      </c>
      <c r="M23" s="1232">
        <v>0</v>
      </c>
      <c r="N23" s="1232">
        <v>0</v>
      </c>
      <c r="O23" s="814">
        <v>0</v>
      </c>
      <c r="P23" s="1228">
        <v>0</v>
      </c>
      <c r="Q23" s="292">
        <v>0</v>
      </c>
      <c r="R23" s="292">
        <v>0</v>
      </c>
      <c r="S23" s="292">
        <v>0</v>
      </c>
      <c r="T23" s="1232">
        <v>0</v>
      </c>
      <c r="U23" s="1232">
        <v>0</v>
      </c>
      <c r="V23" s="1232">
        <v>0</v>
      </c>
      <c r="W23" s="1232">
        <v>0</v>
      </c>
      <c r="X23" s="1232">
        <v>0</v>
      </c>
      <c r="Y23" s="814">
        <v>0</v>
      </c>
      <c r="Z23" s="1228">
        <v>0</v>
      </c>
    </row>
    <row r="24" spans="1:26" s="5" customFormat="1" ht="36.75" customHeight="1">
      <c r="A24" s="83"/>
      <c r="B24" s="199"/>
      <c r="C24" s="63" t="s">
        <v>95</v>
      </c>
      <c r="D24" s="199" t="s">
        <v>451</v>
      </c>
      <c r="E24" s="330"/>
      <c r="F24" s="1153"/>
      <c r="G24" s="1153"/>
      <c r="H24" s="813"/>
      <c r="I24" s="1215"/>
      <c r="J24" s="813"/>
      <c r="K24" s="738"/>
      <c r="L24" s="330">
        <v>0</v>
      </c>
      <c r="M24" s="1153">
        <v>0</v>
      </c>
      <c r="N24" s="1153">
        <v>0</v>
      </c>
      <c r="O24" s="813">
        <v>0</v>
      </c>
      <c r="P24" s="1150">
        <v>0</v>
      </c>
      <c r="Q24" s="330">
        <v>0</v>
      </c>
      <c r="R24" s="330">
        <v>0</v>
      </c>
      <c r="S24" s="330">
        <v>0</v>
      </c>
      <c r="T24" s="1153">
        <v>0</v>
      </c>
      <c r="U24" s="1153">
        <v>0</v>
      </c>
      <c r="V24" s="1153">
        <v>0</v>
      </c>
      <c r="W24" s="1153">
        <v>0</v>
      </c>
      <c r="X24" s="1153">
        <v>0</v>
      </c>
      <c r="Y24" s="813">
        <v>0</v>
      </c>
      <c r="Z24" s="1150">
        <v>0</v>
      </c>
    </row>
    <row r="25" spans="1:26" s="5" customFormat="1" ht="22.5" customHeight="1" thickBot="1">
      <c r="A25" s="223"/>
      <c r="B25" s="224"/>
      <c r="C25" s="225" t="s">
        <v>202</v>
      </c>
      <c r="D25" s="224" t="s">
        <v>203</v>
      </c>
      <c r="E25" s="331">
        <v>0</v>
      </c>
      <c r="F25" s="1233">
        <v>0</v>
      </c>
      <c r="G25" s="1233">
        <v>0</v>
      </c>
      <c r="H25" s="815">
        <v>0</v>
      </c>
      <c r="I25" s="1220">
        <v>0</v>
      </c>
      <c r="J25" s="815">
        <v>0</v>
      </c>
      <c r="K25" s="740"/>
      <c r="L25" s="331">
        <v>0</v>
      </c>
      <c r="M25" s="1233">
        <v>0</v>
      </c>
      <c r="N25" s="1233">
        <v>0</v>
      </c>
      <c r="O25" s="815">
        <v>0</v>
      </c>
      <c r="P25" s="1229">
        <v>0</v>
      </c>
      <c r="Q25" s="331">
        <v>0</v>
      </c>
      <c r="R25" s="331">
        <v>0</v>
      </c>
      <c r="S25" s="331">
        <v>0</v>
      </c>
      <c r="T25" s="1233">
        <v>0</v>
      </c>
      <c r="U25" s="1233">
        <v>0</v>
      </c>
      <c r="V25" s="1233">
        <v>0</v>
      </c>
      <c r="W25" s="1233">
        <v>0</v>
      </c>
      <c r="X25" s="1233">
        <v>0</v>
      </c>
      <c r="Y25" s="815">
        <v>0</v>
      </c>
      <c r="Z25" s="1229">
        <v>0</v>
      </c>
    </row>
    <row r="26" spans="1:26" s="5" customFormat="1" ht="22.5" customHeight="1" thickBot="1">
      <c r="A26" s="71" t="s">
        <v>9</v>
      </c>
      <c r="B26" s="1349" t="s">
        <v>96</v>
      </c>
      <c r="C26" s="1349"/>
      <c r="D26" s="1349"/>
      <c r="E26" s="298">
        <f aca="true" t="shared" si="17" ref="E26:J26">SUM(E27:E29)</f>
        <v>88768165</v>
      </c>
      <c r="F26" s="40">
        <f>SUM(F27:F29)</f>
        <v>80172407</v>
      </c>
      <c r="G26" s="40">
        <f>SUM(G27:G29)</f>
        <v>95182276</v>
      </c>
      <c r="H26" s="726">
        <f>SUM(H27:H29)</f>
        <v>0</v>
      </c>
      <c r="I26" s="1218">
        <f t="shared" si="17"/>
        <v>57410165</v>
      </c>
      <c r="J26" s="726">
        <f t="shared" si="17"/>
        <v>0</v>
      </c>
      <c r="K26" s="639" t="e">
        <f>I26/H26</f>
        <v>#DIV/0!</v>
      </c>
      <c r="L26" s="298">
        <f aca="true" t="shared" si="18" ref="L26:S26">SUM(L27:L29)</f>
        <v>88768165</v>
      </c>
      <c r="M26" s="40">
        <f>SUM(M27:M29)</f>
        <v>80172407</v>
      </c>
      <c r="N26" s="40">
        <f>SUM(N27:N29)</f>
        <v>95182276</v>
      </c>
      <c r="O26" s="726">
        <f>SUM(O27:O29)</f>
        <v>0</v>
      </c>
      <c r="P26" s="1137">
        <f t="shared" si="18"/>
        <v>57410165</v>
      </c>
      <c r="Q26" s="298">
        <f t="shared" si="18"/>
        <v>0</v>
      </c>
      <c r="R26" s="298">
        <f t="shared" si="18"/>
        <v>0</v>
      </c>
      <c r="S26" s="298">
        <f t="shared" si="18"/>
        <v>0</v>
      </c>
      <c r="T26" s="40">
        <f aca="true" t="shared" si="19" ref="T26:Z26">SUM(T27:T29)</f>
        <v>0</v>
      </c>
      <c r="U26" s="40">
        <f t="shared" si="19"/>
        <v>0</v>
      </c>
      <c r="V26" s="40">
        <f>SUM(V27:V29)</f>
        <v>0</v>
      </c>
      <c r="W26" s="40">
        <f t="shared" si="19"/>
        <v>0</v>
      </c>
      <c r="X26" s="40">
        <f t="shared" si="19"/>
        <v>0</v>
      </c>
      <c r="Y26" s="726">
        <f t="shared" si="19"/>
        <v>0</v>
      </c>
      <c r="Z26" s="1137">
        <f t="shared" si="19"/>
        <v>0</v>
      </c>
    </row>
    <row r="27" spans="1:26" s="5" customFormat="1" ht="22.5" customHeight="1">
      <c r="A27" s="70"/>
      <c r="B27" s="75" t="s">
        <v>40</v>
      </c>
      <c r="C27" s="1354" t="s">
        <v>2</v>
      </c>
      <c r="D27" s="1354"/>
      <c r="E27" s="297">
        <v>88768165</v>
      </c>
      <c r="F27" s="241">
        <v>80172407</v>
      </c>
      <c r="G27" s="241">
        <v>95182276</v>
      </c>
      <c r="H27" s="725">
        <v>0</v>
      </c>
      <c r="I27" s="1219">
        <f>77145471+763332-1957000-14999-538480-76862-144780-20143661-499567+200000+8686148+114482+2895383-9019302</f>
        <v>57410165</v>
      </c>
      <c r="J27" s="725">
        <v>0</v>
      </c>
      <c r="K27" s="638"/>
      <c r="L27" s="297">
        <f aca="true" t="shared" si="20" ref="L27:R27">E27</f>
        <v>88768165</v>
      </c>
      <c r="M27" s="241">
        <f t="shared" si="20"/>
        <v>80172407</v>
      </c>
      <c r="N27" s="241">
        <f t="shared" si="20"/>
        <v>95182276</v>
      </c>
      <c r="O27" s="725">
        <f t="shared" si="20"/>
        <v>0</v>
      </c>
      <c r="P27" s="1147">
        <f t="shared" si="20"/>
        <v>57410165</v>
      </c>
      <c r="Q27" s="297">
        <f t="shared" si="20"/>
        <v>0</v>
      </c>
      <c r="R27" s="297">
        <f t="shared" si="20"/>
        <v>0</v>
      </c>
      <c r="S27" s="297">
        <v>0</v>
      </c>
      <c r="T27" s="241">
        <v>0</v>
      </c>
      <c r="U27" s="241">
        <v>0</v>
      </c>
      <c r="V27" s="241">
        <v>0</v>
      </c>
      <c r="W27" s="241">
        <v>0</v>
      </c>
      <c r="X27" s="241">
        <v>0</v>
      </c>
      <c r="Y27" s="725">
        <v>0</v>
      </c>
      <c r="Z27" s="1147">
        <v>0</v>
      </c>
    </row>
    <row r="28" spans="1:26" s="8" customFormat="1" ht="22.5" customHeight="1">
      <c r="A28" s="84"/>
      <c r="B28" s="62" t="s">
        <v>41</v>
      </c>
      <c r="C28" s="1353" t="s">
        <v>264</v>
      </c>
      <c r="D28" s="1353"/>
      <c r="E28" s="292">
        <v>0</v>
      </c>
      <c r="F28" s="1232">
        <v>0</v>
      </c>
      <c r="G28" s="1232">
        <v>0</v>
      </c>
      <c r="H28" s="814">
        <v>0</v>
      </c>
      <c r="I28" s="1216">
        <v>0</v>
      </c>
      <c r="J28" s="814">
        <v>0</v>
      </c>
      <c r="K28" s="739"/>
      <c r="L28" s="292">
        <v>0</v>
      </c>
      <c r="M28" s="1232">
        <v>0</v>
      </c>
      <c r="N28" s="1232">
        <v>0</v>
      </c>
      <c r="O28" s="814">
        <v>0</v>
      </c>
      <c r="P28" s="1228">
        <v>0</v>
      </c>
      <c r="Q28" s="292">
        <v>0</v>
      </c>
      <c r="R28" s="292">
        <v>0</v>
      </c>
      <c r="S28" s="292">
        <v>0</v>
      </c>
      <c r="T28" s="1232">
        <v>0</v>
      </c>
      <c r="U28" s="1232">
        <v>0</v>
      </c>
      <c r="V28" s="1232">
        <v>0</v>
      </c>
      <c r="W28" s="1232">
        <v>0</v>
      </c>
      <c r="X28" s="1232">
        <v>0</v>
      </c>
      <c r="Y28" s="814">
        <v>0</v>
      </c>
      <c r="Z28" s="1228">
        <v>0</v>
      </c>
    </row>
    <row r="29" spans="1:26" s="8" customFormat="1" ht="22.5" customHeight="1" thickBot="1">
      <c r="A29" s="90"/>
      <c r="B29" s="76" t="s">
        <v>64</v>
      </c>
      <c r="C29" s="91" t="s">
        <v>97</v>
      </c>
      <c r="D29" s="91"/>
      <c r="E29" s="310">
        <v>0</v>
      </c>
      <c r="F29" s="311">
        <v>0</v>
      </c>
      <c r="G29" s="311">
        <v>0</v>
      </c>
      <c r="H29" s="816">
        <v>0</v>
      </c>
      <c r="I29" s="1221">
        <v>0</v>
      </c>
      <c r="J29" s="816">
        <v>0</v>
      </c>
      <c r="K29" s="741"/>
      <c r="L29" s="310">
        <v>0</v>
      </c>
      <c r="M29" s="311">
        <v>0</v>
      </c>
      <c r="N29" s="311">
        <v>0</v>
      </c>
      <c r="O29" s="816">
        <v>0</v>
      </c>
      <c r="P29" s="1136">
        <v>0</v>
      </c>
      <c r="Q29" s="310">
        <v>0</v>
      </c>
      <c r="R29" s="310">
        <v>0</v>
      </c>
      <c r="S29" s="310">
        <v>0</v>
      </c>
      <c r="T29" s="311">
        <v>0</v>
      </c>
      <c r="U29" s="311">
        <v>0</v>
      </c>
      <c r="V29" s="311">
        <v>0</v>
      </c>
      <c r="W29" s="311">
        <v>0</v>
      </c>
      <c r="X29" s="311">
        <v>0</v>
      </c>
      <c r="Y29" s="816">
        <v>0</v>
      </c>
      <c r="Z29" s="1136">
        <v>0</v>
      </c>
    </row>
    <row r="30" spans="1:26" s="41" customFormat="1" ht="22.5" customHeight="1" thickBot="1">
      <c r="A30" s="51" t="s">
        <v>10</v>
      </c>
      <c r="B30" s="77" t="s">
        <v>98</v>
      </c>
      <c r="C30" s="77"/>
      <c r="D30" s="77"/>
      <c r="E30" s="299">
        <v>0</v>
      </c>
      <c r="F30" s="300">
        <v>0</v>
      </c>
      <c r="G30" s="300">
        <v>0</v>
      </c>
      <c r="H30" s="727">
        <v>0</v>
      </c>
      <c r="I30" s="1222">
        <v>0</v>
      </c>
      <c r="J30" s="727">
        <v>0</v>
      </c>
      <c r="K30" s="640"/>
      <c r="L30" s="299">
        <v>0</v>
      </c>
      <c r="M30" s="300">
        <v>0</v>
      </c>
      <c r="N30" s="300">
        <v>0</v>
      </c>
      <c r="O30" s="727">
        <v>0</v>
      </c>
      <c r="P30" s="1148">
        <v>0</v>
      </c>
      <c r="Q30" s="299">
        <v>0</v>
      </c>
      <c r="R30" s="299">
        <v>0</v>
      </c>
      <c r="S30" s="299">
        <v>0</v>
      </c>
      <c r="T30" s="300">
        <v>0</v>
      </c>
      <c r="U30" s="300">
        <v>0</v>
      </c>
      <c r="V30" s="300">
        <v>0</v>
      </c>
      <c r="W30" s="300">
        <v>0</v>
      </c>
      <c r="X30" s="300">
        <v>0</v>
      </c>
      <c r="Y30" s="727">
        <v>0</v>
      </c>
      <c r="Z30" s="1148">
        <v>0</v>
      </c>
    </row>
    <row r="31" spans="1:26" s="41" customFormat="1" ht="22.5" customHeight="1" hidden="1" thickBot="1">
      <c r="A31" s="71"/>
      <c r="B31" s="1349"/>
      <c r="C31" s="1349"/>
      <c r="D31" s="1349"/>
      <c r="E31" s="671"/>
      <c r="F31" s="1234"/>
      <c r="G31" s="1234"/>
      <c r="H31" s="817"/>
      <c r="I31" s="1223"/>
      <c r="J31" s="817"/>
      <c r="K31" s="742"/>
      <c r="L31" s="671"/>
      <c r="M31" s="1234"/>
      <c r="N31" s="1234"/>
      <c r="O31" s="817"/>
      <c r="P31" s="1230"/>
      <c r="Q31" s="671"/>
      <c r="R31" s="671"/>
      <c r="S31" s="671"/>
      <c r="T31" s="1234"/>
      <c r="U31" s="1234"/>
      <c r="V31" s="1234"/>
      <c r="W31" s="1234"/>
      <c r="X31" s="1234"/>
      <c r="Y31" s="817"/>
      <c r="Z31" s="1230"/>
    </row>
    <row r="32" spans="1:26" s="41" customFormat="1" ht="22.5" customHeight="1" thickBot="1">
      <c r="A32" s="71" t="s">
        <v>11</v>
      </c>
      <c r="B32" s="1309" t="s">
        <v>99</v>
      </c>
      <c r="C32" s="1309"/>
      <c r="D32" s="1309"/>
      <c r="E32" s="296">
        <f aca="true" t="shared" si="21" ref="E32:S32">E7+E18+E26+E30</f>
        <v>635212999</v>
      </c>
      <c r="F32" s="239">
        <f>F7+F18+F26+F30</f>
        <v>621760672</v>
      </c>
      <c r="G32" s="239">
        <f>G7+G18+G26+G30</f>
        <v>645307834</v>
      </c>
      <c r="H32" s="724">
        <f>H7+H18+H26+H30</f>
        <v>718211526</v>
      </c>
      <c r="I32" s="1135">
        <f t="shared" si="21"/>
        <v>57410165</v>
      </c>
      <c r="J32" s="296">
        <f t="shared" si="21"/>
        <v>0</v>
      </c>
      <c r="K32" s="296" t="e">
        <f t="shared" si="21"/>
        <v>#DIV/0!</v>
      </c>
      <c r="L32" s="296">
        <f t="shared" si="21"/>
        <v>601336120</v>
      </c>
      <c r="M32" s="239">
        <f>M7+M18+M26+M30</f>
        <v>579924014</v>
      </c>
      <c r="N32" s="239">
        <f>N7+N18+N26+N30</f>
        <v>603471176</v>
      </c>
      <c r="O32" s="724">
        <f>O7+O18+O26+O30</f>
        <v>681164953</v>
      </c>
      <c r="P32" s="1135" t="e">
        <f t="shared" si="21"/>
        <v>#REF!</v>
      </c>
      <c r="Q32" s="296" t="e">
        <f t="shared" si="21"/>
        <v>#REF!</v>
      </c>
      <c r="R32" s="296" t="e">
        <f t="shared" si="21"/>
        <v>#REF!</v>
      </c>
      <c r="S32" s="296">
        <f t="shared" si="21"/>
        <v>33876879</v>
      </c>
      <c r="T32" s="239">
        <f>T7+T18+T26+T30</f>
        <v>41836658</v>
      </c>
      <c r="U32" s="239">
        <f>U7+U18+U26+U30</f>
        <v>41836658</v>
      </c>
      <c r="V32" s="239">
        <f>V7+V18+V26+V30</f>
        <v>37046573</v>
      </c>
      <c r="W32" s="239">
        <f>W7+W18+W26+W30+W36</f>
        <v>18884533</v>
      </c>
      <c r="X32" s="239">
        <f>X7+X18+X26+X30+X36</f>
        <v>0</v>
      </c>
      <c r="Y32" s="724" t="e">
        <f>Y7+Y18+Y26+Y30+Y36</f>
        <v>#DIV/0!</v>
      </c>
      <c r="Z32" s="1135">
        <f>Z7+Z18+Z26+Z30+Z36</f>
        <v>15.046900878380692</v>
      </c>
    </row>
    <row r="33" spans="1:26" s="41" customFormat="1" ht="22.5" customHeight="1" thickBot="1">
      <c r="A33" s="49" t="s">
        <v>12</v>
      </c>
      <c r="B33" s="1356" t="s">
        <v>100</v>
      </c>
      <c r="C33" s="1356"/>
      <c r="D33" s="1356"/>
      <c r="E33" s="301">
        <f aca="true" t="shared" si="22" ref="E33:J33">SUM(E34:E37)</f>
        <v>252537405</v>
      </c>
      <c r="F33" s="74">
        <f>SUM(F34:F37)</f>
        <v>252537405</v>
      </c>
      <c r="G33" s="74">
        <f>SUM(G34:G37)</f>
        <v>251003721</v>
      </c>
      <c r="H33" s="728">
        <f>SUM(H34:H37)</f>
        <v>235570778</v>
      </c>
      <c r="I33" s="1224">
        <f t="shared" si="22"/>
        <v>0</v>
      </c>
      <c r="J33" s="728">
        <f t="shared" si="22"/>
        <v>0</v>
      </c>
      <c r="K33" s="301">
        <f aca="true" t="shared" si="23" ref="K33:R33">SUM(K34:K37)</f>
        <v>0</v>
      </c>
      <c r="L33" s="301">
        <f t="shared" si="23"/>
        <v>251098522</v>
      </c>
      <c r="M33" s="74">
        <f>SUM(M34:M37)</f>
        <v>251098522</v>
      </c>
      <c r="N33" s="74">
        <f>SUM(N34:N37)</f>
        <v>249564838</v>
      </c>
      <c r="O33" s="728">
        <f>SUM(O34:O37)</f>
        <v>234016405</v>
      </c>
      <c r="P33" s="1134">
        <f t="shared" si="23"/>
        <v>0</v>
      </c>
      <c r="Q33" s="301">
        <f t="shared" si="23"/>
        <v>0</v>
      </c>
      <c r="R33" s="301">
        <f t="shared" si="23"/>
        <v>0</v>
      </c>
      <c r="S33" s="301">
        <f aca="true" t="shared" si="24" ref="S33:Z33">SUM(S34:S36)</f>
        <v>1438883</v>
      </c>
      <c r="T33" s="74">
        <f>SUM(T34:T36)</f>
        <v>1438883</v>
      </c>
      <c r="U33" s="74">
        <f>SUM(U34:U36)</f>
        <v>1438883</v>
      </c>
      <c r="V33" s="74">
        <f>SUM(V34:V36)</f>
        <v>1554373</v>
      </c>
      <c r="W33" s="74">
        <f t="shared" si="24"/>
        <v>4</v>
      </c>
      <c r="X33" s="74">
        <f t="shared" si="24"/>
        <v>0</v>
      </c>
      <c r="Y33" s="728">
        <f t="shared" si="24"/>
        <v>6</v>
      </c>
      <c r="Z33" s="1134">
        <f t="shared" si="24"/>
        <v>7</v>
      </c>
    </row>
    <row r="34" spans="1:26" s="5" customFormat="1" ht="22.5" customHeight="1">
      <c r="A34" s="93"/>
      <c r="B34" s="75" t="s">
        <v>44</v>
      </c>
      <c r="C34" s="1376" t="s">
        <v>266</v>
      </c>
      <c r="D34" s="1376"/>
      <c r="E34" s="297">
        <v>0</v>
      </c>
      <c r="F34" s="241">
        <v>0</v>
      </c>
      <c r="G34" s="241">
        <v>0</v>
      </c>
      <c r="H34" s="725">
        <v>0</v>
      </c>
      <c r="I34" s="1219"/>
      <c r="J34" s="297"/>
      <c r="K34" s="638"/>
      <c r="L34" s="297">
        <f aca="true" t="shared" si="25" ref="L34:O37">E34</f>
        <v>0</v>
      </c>
      <c r="M34" s="241">
        <f t="shared" si="25"/>
        <v>0</v>
      </c>
      <c r="N34" s="241">
        <f t="shared" si="25"/>
        <v>0</v>
      </c>
      <c r="O34" s="725">
        <f t="shared" si="25"/>
        <v>0</v>
      </c>
      <c r="P34" s="1147">
        <f aca="true" t="shared" si="26" ref="P34:R37">I34</f>
        <v>0</v>
      </c>
      <c r="Q34" s="297">
        <f t="shared" si="26"/>
        <v>0</v>
      </c>
      <c r="R34" s="297">
        <f t="shared" si="26"/>
        <v>0</v>
      </c>
      <c r="S34" s="297"/>
      <c r="T34" s="241"/>
      <c r="U34" s="241"/>
      <c r="V34" s="241"/>
      <c r="W34" s="241"/>
      <c r="X34" s="241"/>
      <c r="Y34" s="725"/>
      <c r="Z34" s="1147"/>
    </row>
    <row r="35" spans="1:26" s="5" customFormat="1" ht="22.5" customHeight="1">
      <c r="A35" s="53"/>
      <c r="B35" s="62" t="s">
        <v>309</v>
      </c>
      <c r="C35" s="1355" t="s">
        <v>434</v>
      </c>
      <c r="D35" s="1355"/>
      <c r="E35" s="330"/>
      <c r="F35" s="1153"/>
      <c r="G35" s="1153"/>
      <c r="H35" s="813"/>
      <c r="I35" s="1215"/>
      <c r="J35" s="330"/>
      <c r="K35" s="738"/>
      <c r="L35" s="330">
        <f t="shared" si="25"/>
        <v>0</v>
      </c>
      <c r="M35" s="1153">
        <f t="shared" si="25"/>
        <v>0</v>
      </c>
      <c r="N35" s="1153">
        <f t="shared" si="25"/>
        <v>0</v>
      </c>
      <c r="O35" s="813">
        <f t="shared" si="25"/>
        <v>0</v>
      </c>
      <c r="P35" s="1150">
        <f t="shared" si="26"/>
        <v>0</v>
      </c>
      <c r="Q35" s="330">
        <f t="shared" si="26"/>
        <v>0</v>
      </c>
      <c r="R35" s="330">
        <f t="shared" si="26"/>
        <v>0</v>
      </c>
      <c r="S35" s="330"/>
      <c r="T35" s="1153"/>
      <c r="U35" s="1153"/>
      <c r="V35" s="1153"/>
      <c r="W35" s="1153"/>
      <c r="X35" s="1153"/>
      <c r="Y35" s="813"/>
      <c r="Z35" s="1150"/>
    </row>
    <row r="36" spans="1:26" s="5" customFormat="1" ht="37.5" customHeight="1" thickBot="1">
      <c r="A36" s="533"/>
      <c r="B36" s="534" t="s">
        <v>411</v>
      </c>
      <c r="C36" s="1377" t="s">
        <v>265</v>
      </c>
      <c r="D36" s="1378"/>
      <c r="E36" s="536">
        <v>241624759</v>
      </c>
      <c r="F36" s="1235">
        <v>241624759</v>
      </c>
      <c r="G36" s="1235">
        <v>240091075</v>
      </c>
      <c r="H36" s="818">
        <v>224658132</v>
      </c>
      <c r="I36" s="1225"/>
      <c r="J36" s="818"/>
      <c r="K36" s="743"/>
      <c r="L36" s="536">
        <f>E36-S36</f>
        <v>240185876</v>
      </c>
      <c r="M36" s="1235">
        <f>F36-T36</f>
        <v>240185876</v>
      </c>
      <c r="N36" s="1235">
        <f>G36-U36</f>
        <v>238652192</v>
      </c>
      <c r="O36" s="818">
        <f>H36-V36</f>
        <v>223103759</v>
      </c>
      <c r="P36" s="1231">
        <f t="shared" si="26"/>
        <v>0</v>
      </c>
      <c r="Q36" s="536">
        <f t="shared" si="26"/>
        <v>0</v>
      </c>
      <c r="R36" s="536">
        <f t="shared" si="26"/>
        <v>0</v>
      </c>
      <c r="S36" s="536">
        <f>+'5.1 sz. m Köz Hiv'!S27</f>
        <v>1438883</v>
      </c>
      <c r="T36" s="1235">
        <f>+'5.1 sz. m Köz Hiv'!T27</f>
        <v>1438883</v>
      </c>
      <c r="U36" s="1235">
        <f>+'5.1 sz. m Köz Hiv'!U27</f>
        <v>1438883</v>
      </c>
      <c r="V36" s="1235">
        <f>+'5.1 sz. m Köz Hiv'!V27</f>
        <v>1554373</v>
      </c>
      <c r="W36" s="1235">
        <v>4</v>
      </c>
      <c r="X36" s="1235">
        <v>0</v>
      </c>
      <c r="Y36" s="818">
        <v>6</v>
      </c>
      <c r="Z36" s="1231">
        <v>7</v>
      </c>
    </row>
    <row r="37" spans="1:26" s="5" customFormat="1" ht="22.5" customHeight="1" thickBot="1">
      <c r="A37" s="533"/>
      <c r="B37" s="534" t="s">
        <v>432</v>
      </c>
      <c r="C37" s="535" t="s">
        <v>410</v>
      </c>
      <c r="D37" s="535"/>
      <c r="E37" s="536">
        <v>10912646</v>
      </c>
      <c r="F37" s="1235">
        <v>10912646</v>
      </c>
      <c r="G37" s="1235">
        <v>10912646</v>
      </c>
      <c r="H37" s="818">
        <v>10912646</v>
      </c>
      <c r="I37" s="1225"/>
      <c r="J37" s="536"/>
      <c r="K37" s="743"/>
      <c r="L37" s="536">
        <f t="shared" si="25"/>
        <v>10912646</v>
      </c>
      <c r="M37" s="1235">
        <f t="shared" si="25"/>
        <v>10912646</v>
      </c>
      <c r="N37" s="1235">
        <f t="shared" si="25"/>
        <v>10912646</v>
      </c>
      <c r="O37" s="818">
        <f t="shared" si="25"/>
        <v>10912646</v>
      </c>
      <c r="P37" s="1231">
        <f t="shared" si="26"/>
        <v>0</v>
      </c>
      <c r="Q37" s="536">
        <f t="shared" si="26"/>
        <v>0</v>
      </c>
      <c r="R37" s="536">
        <f t="shared" si="26"/>
        <v>0</v>
      </c>
      <c r="S37" s="536"/>
      <c r="T37" s="1235"/>
      <c r="U37" s="1235"/>
      <c r="V37" s="1235"/>
      <c r="W37" s="1235"/>
      <c r="X37" s="1235"/>
      <c r="Y37" s="818"/>
      <c r="Z37" s="1231"/>
    </row>
    <row r="38" spans="1:26" s="5" customFormat="1" ht="22.5" customHeight="1" thickBot="1">
      <c r="A38" s="71" t="s">
        <v>433</v>
      </c>
      <c r="B38" s="1309" t="s">
        <v>225</v>
      </c>
      <c r="C38" s="1309"/>
      <c r="D38" s="1309"/>
      <c r="E38" s="298">
        <f aca="true" t="shared" si="27" ref="E38:J38">E32+E33</f>
        <v>887750404</v>
      </c>
      <c r="F38" s="40">
        <f>F32+F33</f>
        <v>874298077</v>
      </c>
      <c r="G38" s="40">
        <f>G32+G33</f>
        <v>896311555</v>
      </c>
      <c r="H38" s="726">
        <f>H32+H33</f>
        <v>953782304</v>
      </c>
      <c r="I38" s="1218">
        <f t="shared" si="27"/>
        <v>57410165</v>
      </c>
      <c r="J38" s="726">
        <f t="shared" si="27"/>
        <v>0</v>
      </c>
      <c r="K38" s="639">
        <f>I38/H38</f>
        <v>0.06019210543038131</v>
      </c>
      <c r="L38" s="298">
        <f aca="true" t="shared" si="28" ref="L38:S38">L32+L33</f>
        <v>852434642</v>
      </c>
      <c r="M38" s="40">
        <f>M32+M33</f>
        <v>831022536</v>
      </c>
      <c r="N38" s="40">
        <f>N32+N33</f>
        <v>853036014</v>
      </c>
      <c r="O38" s="726">
        <f>O32+O33</f>
        <v>915181358</v>
      </c>
      <c r="P38" s="1137" t="e">
        <f t="shared" si="28"/>
        <v>#REF!</v>
      </c>
      <c r="Q38" s="298" t="e">
        <f t="shared" si="28"/>
        <v>#REF!</v>
      </c>
      <c r="R38" s="298" t="e">
        <f t="shared" si="28"/>
        <v>#REF!</v>
      </c>
      <c r="S38" s="298">
        <f t="shared" si="28"/>
        <v>35315762</v>
      </c>
      <c r="T38" s="40">
        <f aca="true" t="shared" si="29" ref="T38:Z38">T32+T33</f>
        <v>43275541</v>
      </c>
      <c r="U38" s="40">
        <f t="shared" si="29"/>
        <v>43275541</v>
      </c>
      <c r="V38" s="40">
        <f>V32+V33</f>
        <v>38600946</v>
      </c>
      <c r="W38" s="40">
        <f t="shared" si="29"/>
        <v>18884537</v>
      </c>
      <c r="X38" s="40">
        <f t="shared" si="29"/>
        <v>0</v>
      </c>
      <c r="Y38" s="726" t="e">
        <f t="shared" si="29"/>
        <v>#DIV/0!</v>
      </c>
      <c r="Z38" s="1137">
        <f t="shared" si="29"/>
        <v>22.04690087838069</v>
      </c>
    </row>
    <row r="39" spans="1:26" s="5" customFormat="1" ht="19.5" customHeight="1" hidden="1" thickBot="1">
      <c r="A39" s="1317" t="s">
        <v>226</v>
      </c>
      <c r="B39" s="1318"/>
      <c r="C39" s="1318"/>
      <c r="D39" s="1318"/>
      <c r="E39" s="476"/>
      <c r="F39" s="477"/>
      <c r="G39" s="477"/>
      <c r="H39" s="819"/>
      <c r="I39" s="1226"/>
      <c r="J39" s="819"/>
      <c r="K39" s="478" t="e">
        <f>I39/H39</f>
        <v>#DIV/0!</v>
      </c>
      <c r="L39" s="476"/>
      <c r="M39" s="477"/>
      <c r="N39" s="477"/>
      <c r="O39" s="819"/>
      <c r="P39" s="1138"/>
      <c r="Q39" s="476"/>
      <c r="R39" s="476"/>
      <c r="S39" s="476"/>
      <c r="T39" s="477"/>
      <c r="U39" s="477"/>
      <c r="V39" s="477"/>
      <c r="W39" s="477"/>
      <c r="X39" s="477"/>
      <c r="Y39" s="819"/>
      <c r="Z39" s="1138"/>
    </row>
    <row r="40" spans="1:26" s="5" customFormat="1" ht="19.5" customHeight="1" thickBot="1">
      <c r="A40" s="1308" t="s">
        <v>7</v>
      </c>
      <c r="B40" s="1309"/>
      <c r="C40" s="1309"/>
      <c r="D40" s="1309"/>
      <c r="E40" s="332">
        <f aca="true" t="shared" si="30" ref="E40:J40">SUM(E38:E39)</f>
        <v>887750404</v>
      </c>
      <c r="F40" s="333">
        <f>SUM(F38:F39)</f>
        <v>874298077</v>
      </c>
      <c r="G40" s="333">
        <f>SUM(G38:G39)</f>
        <v>896311555</v>
      </c>
      <c r="H40" s="820">
        <f>SUM(H38:H39)</f>
        <v>953782304</v>
      </c>
      <c r="I40" s="1227">
        <f t="shared" si="30"/>
        <v>57410165</v>
      </c>
      <c r="J40" s="820">
        <f t="shared" si="30"/>
        <v>0</v>
      </c>
      <c r="K40" s="334">
        <f>I40/H40</f>
        <v>0.06019210543038131</v>
      </c>
      <c r="L40" s="332">
        <f aca="true" t="shared" si="31" ref="L40:S40">SUM(L38:L39)</f>
        <v>852434642</v>
      </c>
      <c r="M40" s="333">
        <f>SUM(M38:M39)</f>
        <v>831022536</v>
      </c>
      <c r="N40" s="333">
        <f>SUM(N38:N39)</f>
        <v>853036014</v>
      </c>
      <c r="O40" s="820">
        <f>SUM(O38:O39)</f>
        <v>915181358</v>
      </c>
      <c r="P40" s="1139" t="e">
        <f t="shared" si="31"/>
        <v>#REF!</v>
      </c>
      <c r="Q40" s="332" t="e">
        <f t="shared" si="31"/>
        <v>#REF!</v>
      </c>
      <c r="R40" s="332" t="e">
        <f t="shared" si="31"/>
        <v>#REF!</v>
      </c>
      <c r="S40" s="332">
        <f t="shared" si="31"/>
        <v>35315762</v>
      </c>
      <c r="T40" s="333">
        <f aca="true" t="shared" si="32" ref="T40:Z40">SUM(T38:T39)</f>
        <v>43275541</v>
      </c>
      <c r="U40" s="333">
        <f t="shared" si="32"/>
        <v>43275541</v>
      </c>
      <c r="V40" s="333">
        <f>SUM(V38:V39)</f>
        <v>38600946</v>
      </c>
      <c r="W40" s="333">
        <f t="shared" si="32"/>
        <v>18884537</v>
      </c>
      <c r="X40" s="333">
        <f t="shared" si="32"/>
        <v>0</v>
      </c>
      <c r="Y40" s="820" t="e">
        <f t="shared" si="32"/>
        <v>#DIV/0!</v>
      </c>
      <c r="Z40" s="1139">
        <f t="shared" si="32"/>
        <v>22.04690087838069</v>
      </c>
    </row>
    <row r="41" spans="1:26" s="5" customFormat="1" ht="19.5" customHeight="1">
      <c r="A41" s="380"/>
      <c r="B41" s="483"/>
      <c r="C41" s="380"/>
      <c r="D41" s="380"/>
      <c r="E41" s="484"/>
      <c r="F41" s="484"/>
      <c r="G41" s="484"/>
      <c r="H41" s="484"/>
      <c r="I41" s="484"/>
      <c r="J41" s="484"/>
      <c r="K41" s="484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</row>
    <row r="42" spans="1:26" s="5" customFormat="1" ht="19.5" customHeight="1">
      <c r="A42" s="33"/>
      <c r="B42" s="36"/>
      <c r="C42" s="36"/>
      <c r="D42" s="17"/>
      <c r="E42" s="6"/>
      <c r="F42" s="6"/>
      <c r="G42" s="6"/>
      <c r="H42" s="6"/>
      <c r="I42" s="6"/>
      <c r="J42" s="6"/>
      <c r="K42" s="6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2" ht="15.75">
      <c r="A43" s="80"/>
      <c r="B43" s="32"/>
      <c r="C43" s="32"/>
      <c r="D43" s="17"/>
      <c r="E43" s="843"/>
      <c r="F43" s="843"/>
      <c r="G43" s="843"/>
      <c r="H43" s="843"/>
      <c r="I43" s="843"/>
      <c r="J43" s="843"/>
      <c r="K43" s="4"/>
      <c r="V43" s="43"/>
    </row>
    <row r="44" spans="1:11" ht="15.75">
      <c r="A44" s="80"/>
      <c r="B44" s="32"/>
      <c r="C44" s="32"/>
      <c r="D44" s="17"/>
      <c r="E44" s="842" t="str">
        <f>IF(L40+S40=E40," ","HIBA-nincs egyenlőség")</f>
        <v> </v>
      </c>
      <c r="F44" s="842" t="str">
        <f>IF(M40+T40=F40," ","HIBA-nincs egyenlőség")</f>
        <v> </v>
      </c>
      <c r="G44" s="842"/>
      <c r="H44" s="842"/>
      <c r="I44" s="842"/>
      <c r="J44" s="842"/>
      <c r="K44" s="842"/>
    </row>
    <row r="45" spans="1:20" ht="15.75">
      <c r="A45" s="80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80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80"/>
      <c r="B47" s="1"/>
      <c r="C47" s="1"/>
      <c r="D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80"/>
      <c r="B48" s="1"/>
      <c r="C48" s="1"/>
      <c r="D48" s="1"/>
      <c r="G48" s="43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80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80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>
      <c r="A51" s="80"/>
      <c r="B51" s="1"/>
      <c r="C51" s="1"/>
      <c r="D51" s="1"/>
      <c r="L51" s="1"/>
      <c r="M51" s="1"/>
      <c r="N51" s="1"/>
      <c r="O51" s="1"/>
      <c r="P51" s="1"/>
      <c r="Q51" s="1"/>
      <c r="R51" s="1"/>
      <c r="S51" s="1"/>
      <c r="T51" s="1"/>
    </row>
    <row r="52" spans="1:11" ht="15.75">
      <c r="A52" s="80"/>
      <c r="B52" s="32"/>
      <c r="C52" s="32"/>
      <c r="D52" s="17"/>
      <c r="E52" s="3"/>
      <c r="F52" s="3"/>
      <c r="G52" s="3"/>
      <c r="H52" s="3"/>
      <c r="I52" s="3"/>
      <c r="J52" s="3"/>
      <c r="K52" s="3"/>
    </row>
    <row r="53" spans="1:11" ht="15.75">
      <c r="A53" s="80"/>
      <c r="B53" s="32"/>
      <c r="C53" s="32"/>
      <c r="D53" s="17"/>
      <c r="E53" s="3"/>
      <c r="F53" s="3"/>
      <c r="G53" s="3"/>
      <c r="H53" s="3"/>
      <c r="I53" s="3"/>
      <c r="J53" s="3"/>
      <c r="K53" s="3"/>
    </row>
    <row r="54" spans="1:11" ht="15.75">
      <c r="A54" s="80"/>
      <c r="B54" s="32"/>
      <c r="C54" s="32"/>
      <c r="D54" s="17"/>
      <c r="E54" s="3"/>
      <c r="F54" s="3"/>
      <c r="G54" s="3"/>
      <c r="H54" s="3"/>
      <c r="I54" s="3"/>
      <c r="J54" s="3"/>
      <c r="K54" s="3"/>
    </row>
    <row r="55" spans="1:11" ht="15.75">
      <c r="A55" s="80"/>
      <c r="B55" s="32"/>
      <c r="C55" s="32"/>
      <c r="D55" s="17"/>
      <c r="E55" s="3"/>
      <c r="F55" s="3"/>
      <c r="G55" s="3"/>
      <c r="H55" s="3"/>
      <c r="I55" s="3"/>
      <c r="J55" s="3"/>
      <c r="K55" s="3"/>
    </row>
    <row r="56" spans="1:11" ht="15.75">
      <c r="A56" s="80"/>
      <c r="B56" s="32"/>
      <c r="C56" s="32"/>
      <c r="D56" s="17"/>
      <c r="E56" s="3"/>
      <c r="F56" s="3"/>
      <c r="G56" s="3"/>
      <c r="H56" s="3"/>
      <c r="I56" s="3"/>
      <c r="J56" s="3"/>
      <c r="K56" s="3"/>
    </row>
    <row r="57" spans="1:11" ht="15.75">
      <c r="A57" s="80"/>
      <c r="B57" s="32"/>
      <c r="C57" s="32"/>
      <c r="D57" s="17"/>
      <c r="E57" s="3"/>
      <c r="F57" s="3"/>
      <c r="G57" s="3"/>
      <c r="H57" s="3"/>
      <c r="I57" s="3"/>
      <c r="J57" s="3"/>
      <c r="K57" s="3"/>
    </row>
    <row r="58" spans="1:11" ht="15.75">
      <c r="A58" s="80"/>
      <c r="B58" s="32"/>
      <c r="C58" s="32"/>
      <c r="D58" s="17"/>
      <c r="E58" s="3"/>
      <c r="F58" s="3"/>
      <c r="G58" s="3"/>
      <c r="H58" s="3"/>
      <c r="I58" s="3"/>
      <c r="J58" s="3"/>
      <c r="K58" s="3"/>
    </row>
    <row r="59" spans="1:11" ht="15.75">
      <c r="A59" s="80"/>
      <c r="B59" s="32"/>
      <c r="C59" s="32"/>
      <c r="D59" s="17"/>
      <c r="E59" s="3"/>
      <c r="F59" s="3"/>
      <c r="G59" s="3"/>
      <c r="H59" s="3"/>
      <c r="I59" s="3"/>
      <c r="J59" s="3"/>
      <c r="K59" s="3"/>
    </row>
    <row r="60" spans="1:11" ht="15.75">
      <c r="A60" s="80"/>
      <c r="B60" s="32"/>
      <c r="C60" s="32"/>
      <c r="D60" s="17"/>
      <c r="E60" s="3"/>
      <c r="F60" s="3"/>
      <c r="G60" s="3"/>
      <c r="H60" s="3"/>
      <c r="I60" s="3"/>
      <c r="J60" s="3"/>
      <c r="K60" s="3"/>
    </row>
    <row r="61" spans="1:11" ht="15.75">
      <c r="A61" s="80"/>
      <c r="B61" s="32"/>
      <c r="C61" s="32"/>
      <c r="D61" s="17"/>
      <c r="E61" s="3"/>
      <c r="F61" s="3"/>
      <c r="G61" s="3"/>
      <c r="H61" s="3"/>
      <c r="I61" s="3"/>
      <c r="J61" s="3"/>
      <c r="K61" s="3"/>
    </row>
  </sheetData>
  <sheetProtection/>
  <mergeCells count="21">
    <mergeCell ref="S5:Y5"/>
    <mergeCell ref="A5:D5"/>
    <mergeCell ref="C20:D20"/>
    <mergeCell ref="E1:W1"/>
    <mergeCell ref="A3:S3"/>
    <mergeCell ref="B33:D33"/>
    <mergeCell ref="B7:D7"/>
    <mergeCell ref="B18:D18"/>
    <mergeCell ref="C27:D27"/>
    <mergeCell ref="C28:D28"/>
    <mergeCell ref="C19:D19"/>
    <mergeCell ref="A40:D40"/>
    <mergeCell ref="B31:D31"/>
    <mergeCell ref="A39:D39"/>
    <mergeCell ref="C34:D34"/>
    <mergeCell ref="C21:D21"/>
    <mergeCell ref="B38:D38"/>
    <mergeCell ref="B26:D26"/>
    <mergeCell ref="C35:D35"/>
    <mergeCell ref="C36:D36"/>
    <mergeCell ref="B32:D3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3"/>
  <sheetViews>
    <sheetView zoomScale="110" zoomScaleNormal="110" zoomScalePageLayoutView="0" workbookViewId="0" topLeftCell="E1">
      <selection activeCell="A3" sqref="A3:W3"/>
    </sheetView>
  </sheetViews>
  <sheetFormatPr defaultColWidth="9.140625" defaultRowHeight="12.75"/>
  <cols>
    <col min="1" max="1" width="4.28125" style="168" customWidth="1"/>
    <col min="2" max="2" width="4.7109375" style="110" customWidth="1"/>
    <col min="3" max="3" width="45.421875" style="110" customWidth="1"/>
    <col min="4" max="4" width="11.140625" style="110" customWidth="1"/>
    <col min="5" max="5" width="10.57421875" style="110" customWidth="1"/>
    <col min="6" max="6" width="10.421875" style="110" customWidth="1"/>
    <col min="7" max="7" width="11.7109375" style="110" customWidth="1"/>
    <col min="8" max="8" width="12.421875" style="110" hidden="1" customWidth="1"/>
    <col min="9" max="9" width="10.140625" style="110" hidden="1" customWidth="1"/>
    <col min="10" max="10" width="9.8515625" style="110" hidden="1" customWidth="1"/>
    <col min="11" max="11" width="8.28125" style="110" hidden="1" customWidth="1"/>
    <col min="12" max="12" width="12.8515625" style="110" customWidth="1"/>
    <col min="13" max="13" width="11.00390625" style="110" customWidth="1"/>
    <col min="14" max="14" width="12.57421875" style="110" customWidth="1"/>
    <col min="15" max="15" width="10.140625" style="110" customWidth="1"/>
    <col min="16" max="17" width="10.28125" style="110" hidden="1" customWidth="1"/>
    <col min="18" max="18" width="9.8515625" style="110" hidden="1" customWidth="1"/>
    <col min="19" max="22" width="9.8515625" style="110" customWidth="1"/>
    <col min="23" max="23" width="13.140625" style="110" customWidth="1"/>
    <col min="24" max="24" width="9.140625" style="110" customWidth="1"/>
    <col min="25" max="25" width="9.421875" style="110" customWidth="1"/>
    <col min="26" max="26" width="10.00390625" style="110" customWidth="1"/>
    <col min="27" max="27" width="10.8515625" style="110" hidden="1" customWidth="1"/>
    <col min="28" max="28" width="10.00390625" style="110" hidden="1" customWidth="1"/>
    <col min="29" max="31" width="9.140625" style="110" hidden="1" customWidth="1"/>
    <col min="32" max="32" width="11.421875" style="110" bestFit="1" customWidth="1"/>
    <col min="33" max="33" width="12.421875" style="110" bestFit="1" customWidth="1"/>
    <col min="34" max="34" width="11.421875" style="110" bestFit="1" customWidth="1"/>
    <col min="35" max="16384" width="9.140625" style="110" customWidth="1"/>
  </cols>
  <sheetData>
    <row r="1" spans="1:27" s="102" customFormat="1" ht="21" customHeight="1">
      <c r="A1" s="98"/>
      <c r="B1" s="99"/>
      <c r="C1" s="1381" t="s">
        <v>541</v>
      </c>
      <c r="D1" s="1381"/>
      <c r="E1" s="1381"/>
      <c r="F1" s="1381"/>
      <c r="G1" s="1381"/>
      <c r="H1" s="1381"/>
      <c r="I1" s="1381"/>
      <c r="J1" s="1381"/>
      <c r="K1" s="1381"/>
      <c r="L1" s="1381"/>
      <c r="M1" s="1381"/>
      <c r="N1" s="1381"/>
      <c r="O1" s="1381"/>
      <c r="P1" s="1381"/>
      <c r="Q1" s="1381"/>
      <c r="R1" s="1381"/>
      <c r="S1" s="1381"/>
      <c r="T1" s="1381"/>
      <c r="U1" s="1381"/>
      <c r="V1" s="1381"/>
      <c r="W1" s="1381"/>
      <c r="X1" s="1381"/>
      <c r="Y1" s="1381"/>
      <c r="Z1" s="1381"/>
      <c r="AA1" s="1381"/>
    </row>
    <row r="2" spans="1:26" s="102" customFormat="1" ht="21" customHeight="1">
      <c r="A2" s="204"/>
      <c r="B2" s="99"/>
      <c r="C2" s="104"/>
      <c r="D2" s="103"/>
      <c r="E2" s="103"/>
      <c r="F2" s="103"/>
      <c r="G2" s="103"/>
      <c r="H2" s="103"/>
      <c r="I2" s="103"/>
      <c r="J2" s="103"/>
      <c r="K2" s="103"/>
      <c r="S2" s="1389" t="s">
        <v>647</v>
      </c>
      <c r="T2" s="1389"/>
      <c r="U2" s="1389"/>
      <c r="V2" s="1389"/>
      <c r="W2" s="1389"/>
      <c r="X2" s="1389"/>
      <c r="Y2" s="1389"/>
      <c r="Z2" s="1389"/>
    </row>
    <row r="3" spans="1:23" s="105" customFormat="1" ht="25.5" customHeight="1">
      <c r="A3" s="1384" t="s">
        <v>211</v>
      </c>
      <c r="B3" s="1384"/>
      <c r="C3" s="1384"/>
      <c r="D3" s="1384"/>
      <c r="E3" s="1384"/>
      <c r="F3" s="1384"/>
      <c r="G3" s="1384"/>
      <c r="H3" s="1384"/>
      <c r="I3" s="1384"/>
      <c r="J3" s="1384"/>
      <c r="K3" s="1384"/>
      <c r="L3" s="1384"/>
      <c r="M3" s="1384"/>
      <c r="N3" s="1384"/>
      <c r="O3" s="1384"/>
      <c r="P3" s="1384"/>
      <c r="Q3" s="1384"/>
      <c r="R3" s="1384"/>
      <c r="S3" s="1384"/>
      <c r="T3" s="1384"/>
      <c r="U3" s="1384"/>
      <c r="V3" s="1384"/>
      <c r="W3" s="1384"/>
    </row>
    <row r="4" spans="1:23" s="108" customFormat="1" ht="15.75" customHeight="1" thickBot="1">
      <c r="A4" s="106"/>
      <c r="B4" s="106"/>
      <c r="C4" s="106"/>
      <c r="W4" s="107" t="s">
        <v>423</v>
      </c>
    </row>
    <row r="5" spans="1:30" ht="36.75" customHeight="1" thickBot="1">
      <c r="A5" s="1382" t="s">
        <v>103</v>
      </c>
      <c r="B5" s="1383"/>
      <c r="C5" s="421" t="s">
        <v>104</v>
      </c>
      <c r="D5" s="1386" t="s">
        <v>4</v>
      </c>
      <c r="E5" s="1387"/>
      <c r="F5" s="1387"/>
      <c r="G5" s="1387"/>
      <c r="H5" s="1387"/>
      <c r="I5" s="1387"/>
      <c r="J5" s="1387"/>
      <c r="K5" s="1388"/>
      <c r="L5" s="1386" t="s">
        <v>102</v>
      </c>
      <c r="M5" s="1387"/>
      <c r="N5" s="1387"/>
      <c r="O5" s="1387"/>
      <c r="P5" s="1387"/>
      <c r="Q5" s="1387"/>
      <c r="R5" s="1388"/>
      <c r="S5" s="1386" t="s">
        <v>347</v>
      </c>
      <c r="T5" s="1387"/>
      <c r="U5" s="1387"/>
      <c r="V5" s="1388"/>
      <c r="W5" s="1386" t="s">
        <v>149</v>
      </c>
      <c r="X5" s="1387"/>
      <c r="Y5" s="1387"/>
      <c r="Z5" s="1387"/>
      <c r="AA5" s="1387"/>
      <c r="AB5" s="1387"/>
      <c r="AC5" s="1387"/>
      <c r="AD5" s="1388"/>
    </row>
    <row r="6" spans="1:31" ht="13.5" thickBot="1">
      <c r="A6" s="253"/>
      <c r="B6" s="254"/>
      <c r="C6" s="421"/>
      <c r="D6" s="411" t="s">
        <v>217</v>
      </c>
      <c r="E6" s="109" t="s">
        <v>215</v>
      </c>
      <c r="F6" s="109" t="s">
        <v>218</v>
      </c>
      <c r="G6" s="109" t="s">
        <v>220</v>
      </c>
      <c r="H6" s="109" t="s">
        <v>232</v>
      </c>
      <c r="I6" s="109" t="s">
        <v>237</v>
      </c>
      <c r="J6" s="109" t="s">
        <v>332</v>
      </c>
      <c r="K6" s="382" t="s">
        <v>237</v>
      </c>
      <c r="L6" s="411" t="s">
        <v>217</v>
      </c>
      <c r="M6" s="109" t="s">
        <v>215</v>
      </c>
      <c r="N6" s="109" t="s">
        <v>218</v>
      </c>
      <c r="O6" s="109" t="s">
        <v>220</v>
      </c>
      <c r="P6" s="109" t="s">
        <v>232</v>
      </c>
      <c r="Q6" s="109" t="s">
        <v>237</v>
      </c>
      <c r="R6" s="382" t="s">
        <v>332</v>
      </c>
      <c r="S6" s="411" t="s">
        <v>217</v>
      </c>
      <c r="T6" s="109" t="s">
        <v>215</v>
      </c>
      <c r="U6" s="109" t="s">
        <v>218</v>
      </c>
      <c r="V6" s="382" t="s">
        <v>220</v>
      </c>
      <c r="W6" s="411" t="s">
        <v>217</v>
      </c>
      <c r="X6" s="109" t="s">
        <v>215</v>
      </c>
      <c r="Y6" s="109" t="s">
        <v>218</v>
      </c>
      <c r="Z6" s="109" t="s">
        <v>220</v>
      </c>
      <c r="AA6" s="109" t="s">
        <v>232</v>
      </c>
      <c r="AB6" s="109" t="s">
        <v>237</v>
      </c>
      <c r="AC6" s="109" t="s">
        <v>332</v>
      </c>
      <c r="AD6" s="382" t="s">
        <v>224</v>
      </c>
      <c r="AE6" s="381" t="s">
        <v>237</v>
      </c>
    </row>
    <row r="7" spans="1:31" s="114" customFormat="1" ht="12.75" customHeight="1" thickBot="1">
      <c r="A7" s="111">
        <v>1</v>
      </c>
      <c r="B7" s="112">
        <v>2</v>
      </c>
      <c r="C7" s="247">
        <v>3</v>
      </c>
      <c r="D7" s="111">
        <v>4</v>
      </c>
      <c r="E7" s="112">
        <v>5</v>
      </c>
      <c r="F7" s="112">
        <v>6</v>
      </c>
      <c r="G7" s="112">
        <v>7</v>
      </c>
      <c r="H7" s="112">
        <v>8</v>
      </c>
      <c r="I7" s="112">
        <v>5</v>
      </c>
      <c r="J7" s="112">
        <v>9</v>
      </c>
      <c r="K7" s="113"/>
      <c r="L7" s="111">
        <v>8</v>
      </c>
      <c r="M7" s="112">
        <v>9</v>
      </c>
      <c r="N7" s="112">
        <v>10</v>
      </c>
      <c r="O7" s="112">
        <v>11</v>
      </c>
      <c r="P7" s="112">
        <v>13</v>
      </c>
      <c r="Q7" s="112">
        <v>7</v>
      </c>
      <c r="R7" s="113">
        <v>15</v>
      </c>
      <c r="S7" s="111">
        <v>12</v>
      </c>
      <c r="T7" s="112">
        <v>13</v>
      </c>
      <c r="U7" s="112">
        <v>14</v>
      </c>
      <c r="V7" s="113">
        <v>15</v>
      </c>
      <c r="W7" s="111">
        <v>16</v>
      </c>
      <c r="X7" s="112">
        <v>17</v>
      </c>
      <c r="Y7" s="112">
        <v>18</v>
      </c>
      <c r="Z7" s="112">
        <v>19</v>
      </c>
      <c r="AA7" s="112">
        <v>18</v>
      </c>
      <c r="AB7" s="112">
        <v>9</v>
      </c>
      <c r="AC7" s="112">
        <v>21</v>
      </c>
      <c r="AD7" s="113"/>
      <c r="AE7" s="944"/>
    </row>
    <row r="8" spans="1:31" s="114" customFormat="1" ht="15.75" customHeight="1" thickBot="1">
      <c r="A8" s="115"/>
      <c r="B8" s="116"/>
      <c r="C8" s="116" t="s">
        <v>105</v>
      </c>
      <c r="D8" s="388"/>
      <c r="E8" s="170"/>
      <c r="F8" s="170"/>
      <c r="G8" s="170"/>
      <c r="H8" s="170"/>
      <c r="I8" s="170"/>
      <c r="J8" s="170"/>
      <c r="K8" s="233"/>
      <c r="L8" s="388"/>
      <c r="M8" s="170"/>
      <c r="N8" s="170"/>
      <c r="O8" s="170"/>
      <c r="P8" s="170"/>
      <c r="Q8" s="170"/>
      <c r="R8" s="233"/>
      <c r="S8" s="388"/>
      <c r="T8" s="170"/>
      <c r="U8" s="170"/>
      <c r="V8" s="233"/>
      <c r="W8" s="388"/>
      <c r="X8" s="170"/>
      <c r="Y8" s="170"/>
      <c r="Z8" s="170"/>
      <c r="AA8" s="170"/>
      <c r="AB8" s="170"/>
      <c r="AC8" s="170"/>
      <c r="AD8" s="233"/>
      <c r="AE8" s="232"/>
    </row>
    <row r="9" spans="1:31" s="119" customFormat="1" ht="12" customHeight="1" thickBot="1">
      <c r="A9" s="111" t="s">
        <v>26</v>
      </c>
      <c r="B9" s="117"/>
      <c r="C9" s="422" t="s">
        <v>321</v>
      </c>
      <c r="D9" s="389">
        <f>SUM(D10:D13)</f>
        <v>50100</v>
      </c>
      <c r="E9" s="171">
        <f>SUM(E10:E13)</f>
        <v>50100</v>
      </c>
      <c r="F9" s="171">
        <f>SUM(F10:F13)</f>
        <v>50100</v>
      </c>
      <c r="G9" s="171">
        <f>SUM(G10:G13)</f>
        <v>175623</v>
      </c>
      <c r="H9" s="171"/>
      <c r="I9" s="171">
        <f aca="true" t="shared" si="0" ref="I9:P9">SUM(I10:I13)</f>
        <v>0</v>
      </c>
      <c r="J9" s="171">
        <f t="shared" si="0"/>
        <v>0</v>
      </c>
      <c r="K9" s="118">
        <f t="shared" si="0"/>
        <v>0</v>
      </c>
      <c r="L9" s="389">
        <f t="shared" si="0"/>
        <v>50100</v>
      </c>
      <c r="M9" s="171">
        <f>SUM(M10:M13)</f>
        <v>50100</v>
      </c>
      <c r="N9" s="171">
        <f>SUM(N10:N13)</f>
        <v>50100</v>
      </c>
      <c r="O9" s="171">
        <f>SUM(O10:O13)</f>
        <v>175623</v>
      </c>
      <c r="P9" s="171">
        <f t="shared" si="0"/>
        <v>0</v>
      </c>
      <c r="Q9" s="171">
        <f>SUM(Q10:Q13)</f>
        <v>0</v>
      </c>
      <c r="R9" s="320"/>
      <c r="S9" s="389"/>
      <c r="T9" s="171"/>
      <c r="U9" s="171"/>
      <c r="V9" s="118"/>
      <c r="W9" s="389"/>
      <c r="X9" s="171"/>
      <c r="Y9" s="171"/>
      <c r="Z9" s="171"/>
      <c r="AA9" s="171"/>
      <c r="AB9" s="171"/>
      <c r="AC9" s="171"/>
      <c r="AD9" s="118"/>
      <c r="AE9" s="229"/>
    </row>
    <row r="10" spans="1:31" s="119" customFormat="1" ht="12" customHeight="1">
      <c r="A10" s="120"/>
      <c r="B10" s="129" t="s">
        <v>34</v>
      </c>
      <c r="C10" s="801" t="s">
        <v>438</v>
      </c>
      <c r="D10" s="783"/>
      <c r="E10" s="180">
        <v>3000</v>
      </c>
      <c r="F10" s="180">
        <v>3000</v>
      </c>
      <c r="G10" s="180">
        <v>0</v>
      </c>
      <c r="H10" s="780"/>
      <c r="I10" s="780"/>
      <c r="J10" s="1242"/>
      <c r="K10" s="782"/>
      <c r="L10" s="783"/>
      <c r="M10" s="180">
        <v>3000</v>
      </c>
      <c r="N10" s="180">
        <v>3000</v>
      </c>
      <c r="O10" s="180">
        <v>0</v>
      </c>
      <c r="P10" s="780"/>
      <c r="Q10" s="780"/>
      <c r="R10" s="781"/>
      <c r="S10" s="783"/>
      <c r="T10" s="779"/>
      <c r="U10" s="779"/>
      <c r="V10" s="782"/>
      <c r="W10" s="783"/>
      <c r="X10" s="779"/>
      <c r="Y10" s="779"/>
      <c r="Z10" s="779"/>
      <c r="AA10" s="779"/>
      <c r="AB10" s="779"/>
      <c r="AC10" s="777"/>
      <c r="AD10" s="778"/>
      <c r="AE10" s="1240"/>
    </row>
    <row r="11" spans="1:31" s="119" customFormat="1" ht="12" customHeight="1">
      <c r="A11" s="827"/>
      <c r="B11" s="121" t="s">
        <v>35</v>
      </c>
      <c r="C11" s="1236" t="s">
        <v>457</v>
      </c>
      <c r="D11" s="830"/>
      <c r="E11" s="828"/>
      <c r="F11" s="828"/>
      <c r="G11" s="828">
        <v>6000</v>
      </c>
      <c r="H11" s="829"/>
      <c r="I11" s="829"/>
      <c r="J11" s="1243"/>
      <c r="K11" s="872"/>
      <c r="L11" s="873"/>
      <c r="M11" s="828"/>
      <c r="N11" s="828"/>
      <c r="O11" s="828">
        <v>6000</v>
      </c>
      <c r="P11" s="829"/>
      <c r="Q11" s="829"/>
      <c r="R11" s="1254"/>
      <c r="S11" s="830"/>
      <c r="T11" s="828"/>
      <c r="U11" s="828"/>
      <c r="V11" s="1255"/>
      <c r="W11" s="830"/>
      <c r="X11" s="828"/>
      <c r="Y11" s="828"/>
      <c r="Z11" s="828"/>
      <c r="AA11" s="828"/>
      <c r="AB11" s="828"/>
      <c r="AC11" s="777"/>
      <c r="AD11" s="778"/>
      <c r="AE11" s="1240"/>
    </row>
    <row r="12" spans="1:31" s="119" customFormat="1" ht="12" customHeight="1">
      <c r="A12" s="122"/>
      <c r="B12" s="121" t="s">
        <v>36</v>
      </c>
      <c r="C12" s="802" t="s">
        <v>295</v>
      </c>
      <c r="D12" s="805">
        <v>100</v>
      </c>
      <c r="E12" s="785">
        <v>100</v>
      </c>
      <c r="F12" s="785">
        <v>100</v>
      </c>
      <c r="G12" s="785">
        <v>100</v>
      </c>
      <c r="H12" s="785"/>
      <c r="I12" s="785"/>
      <c r="J12" s="1244"/>
      <c r="K12" s="874"/>
      <c r="L12" s="407">
        <f>+D12-S12</f>
        <v>100</v>
      </c>
      <c r="M12" s="785">
        <v>100</v>
      </c>
      <c r="N12" s="785">
        <v>100</v>
      </c>
      <c r="O12" s="785">
        <v>100</v>
      </c>
      <c r="P12" s="785"/>
      <c r="Q12" s="785"/>
      <c r="R12" s="786"/>
      <c r="S12" s="805"/>
      <c r="T12" s="785"/>
      <c r="U12" s="785"/>
      <c r="V12" s="874"/>
      <c r="W12" s="788"/>
      <c r="X12" s="784"/>
      <c r="Y12" s="784"/>
      <c r="Z12" s="784"/>
      <c r="AA12" s="784"/>
      <c r="AB12" s="784"/>
      <c r="AC12" s="777"/>
      <c r="AD12" s="778"/>
      <c r="AE12" s="1240"/>
    </row>
    <row r="13" spans="1:31" s="119" customFormat="1" ht="12" customHeight="1" thickBot="1">
      <c r="A13" s="789"/>
      <c r="B13" s="121" t="s">
        <v>47</v>
      </c>
      <c r="C13" s="803" t="s">
        <v>439</v>
      </c>
      <c r="D13" s="806">
        <v>50000</v>
      </c>
      <c r="E13" s="792">
        <v>47000</v>
      </c>
      <c r="F13" s="792">
        <v>47000</v>
      </c>
      <c r="G13" s="792">
        <v>169523</v>
      </c>
      <c r="H13" s="792"/>
      <c r="I13" s="792"/>
      <c r="J13" s="1245"/>
      <c r="K13" s="794"/>
      <c r="L13" s="407">
        <f>+D13-S13</f>
        <v>50000</v>
      </c>
      <c r="M13" s="792">
        <v>47000</v>
      </c>
      <c r="N13" s="792">
        <v>47000</v>
      </c>
      <c r="O13" s="792">
        <v>169523</v>
      </c>
      <c r="P13" s="792"/>
      <c r="Q13" s="792"/>
      <c r="R13" s="793"/>
      <c r="S13" s="806"/>
      <c r="T13" s="792"/>
      <c r="U13" s="792"/>
      <c r="V13" s="1256"/>
      <c r="W13" s="795"/>
      <c r="X13" s="791"/>
      <c r="Y13" s="791"/>
      <c r="Z13" s="791"/>
      <c r="AA13" s="791"/>
      <c r="AB13" s="791"/>
      <c r="AC13" s="777"/>
      <c r="AD13" s="778"/>
      <c r="AE13" s="1240"/>
    </row>
    <row r="14" spans="1:31" s="124" customFormat="1" ht="12" customHeight="1" hidden="1" thickBot="1">
      <c r="A14" s="125" t="s">
        <v>27</v>
      </c>
      <c r="B14" s="121"/>
      <c r="C14" s="1237" t="s">
        <v>111</v>
      </c>
      <c r="D14" s="390"/>
      <c r="E14" s="181"/>
      <c r="F14" s="181"/>
      <c r="G14" s="181"/>
      <c r="H14" s="181"/>
      <c r="I14" s="181"/>
      <c r="J14" s="1246" t="e">
        <f>H14/F14</f>
        <v>#DIV/0!</v>
      </c>
      <c r="K14" s="234"/>
      <c r="L14" s="390"/>
      <c r="M14" s="181"/>
      <c r="N14" s="181"/>
      <c r="O14" s="181"/>
      <c r="P14" s="181"/>
      <c r="Q14" s="181"/>
      <c r="R14" s="644" t="e">
        <f>P14/N14</f>
        <v>#DIV/0!</v>
      </c>
      <c r="S14" s="390"/>
      <c r="T14" s="181"/>
      <c r="U14" s="181"/>
      <c r="V14" s="234"/>
      <c r="W14" s="390"/>
      <c r="X14" s="181"/>
      <c r="Y14" s="181"/>
      <c r="Z14" s="181"/>
      <c r="AA14" s="181"/>
      <c r="AB14" s="181"/>
      <c r="AC14" s="181"/>
      <c r="AD14" s="234"/>
      <c r="AE14" s="1013"/>
    </row>
    <row r="15" spans="1:31" s="119" customFormat="1" ht="12" customHeight="1" thickBot="1">
      <c r="A15" s="111" t="s">
        <v>27</v>
      </c>
      <c r="B15" s="117"/>
      <c r="C15" s="422" t="s">
        <v>112</v>
      </c>
      <c r="D15" s="389">
        <f aca="true" t="shared" si="1" ref="D15:I15">SUM(D16:D19)</f>
        <v>0</v>
      </c>
      <c r="E15" s="171">
        <f>SUM(E16:E19)</f>
        <v>0</v>
      </c>
      <c r="F15" s="171">
        <f>SUM(F16:F19)</f>
        <v>0</v>
      </c>
      <c r="G15" s="171">
        <f>SUM(G16:G19)</f>
        <v>0</v>
      </c>
      <c r="H15" s="171">
        <f t="shared" si="1"/>
        <v>0</v>
      </c>
      <c r="I15" s="171">
        <f t="shared" si="1"/>
        <v>0</v>
      </c>
      <c r="J15" s="1247"/>
      <c r="K15" s="118">
        <f aca="true" t="shared" si="2" ref="K15:Q15">SUM(K16:K19)</f>
        <v>0</v>
      </c>
      <c r="L15" s="389">
        <f t="shared" si="2"/>
        <v>0</v>
      </c>
      <c r="M15" s="171">
        <f>SUM(M16:M19)</f>
        <v>0</v>
      </c>
      <c r="N15" s="171">
        <f>SUM(N16:N19)</f>
        <v>0</v>
      </c>
      <c r="O15" s="171">
        <f>SUM(O16:O19)</f>
        <v>0</v>
      </c>
      <c r="P15" s="171">
        <f t="shared" si="2"/>
        <v>0</v>
      </c>
      <c r="Q15" s="171">
        <f t="shared" si="2"/>
        <v>0</v>
      </c>
      <c r="R15" s="320"/>
      <c r="S15" s="389"/>
      <c r="T15" s="171"/>
      <c r="U15" s="171"/>
      <c r="V15" s="118"/>
      <c r="W15" s="389"/>
      <c r="X15" s="171"/>
      <c r="Y15" s="171"/>
      <c r="Z15" s="171"/>
      <c r="AA15" s="171"/>
      <c r="AB15" s="171"/>
      <c r="AC15" s="171"/>
      <c r="AD15" s="118"/>
      <c r="AE15" s="229"/>
    </row>
    <row r="16" spans="1:31" s="124" customFormat="1" ht="12" customHeight="1">
      <c r="A16" s="122"/>
      <c r="B16" s="121" t="s">
        <v>37</v>
      </c>
      <c r="C16" s="401" t="s">
        <v>69</v>
      </c>
      <c r="D16" s="391"/>
      <c r="E16" s="172"/>
      <c r="F16" s="172"/>
      <c r="G16" s="172"/>
      <c r="H16" s="172"/>
      <c r="I16" s="172"/>
      <c r="J16" s="1248"/>
      <c r="K16" s="123"/>
      <c r="L16" s="391"/>
      <c r="M16" s="172"/>
      <c r="N16" s="172"/>
      <c r="O16" s="172"/>
      <c r="P16" s="172"/>
      <c r="Q16" s="172"/>
      <c r="R16" s="645"/>
      <c r="S16" s="391"/>
      <c r="T16" s="172"/>
      <c r="U16" s="172"/>
      <c r="V16" s="123"/>
      <c r="W16" s="391"/>
      <c r="X16" s="172"/>
      <c r="Y16" s="172"/>
      <c r="Z16" s="172"/>
      <c r="AA16" s="172"/>
      <c r="AB16" s="172"/>
      <c r="AC16" s="172"/>
      <c r="AD16" s="123"/>
      <c r="AE16" s="677"/>
    </row>
    <row r="17" spans="1:31" s="124" customFormat="1" ht="12" customHeight="1">
      <c r="A17" s="122"/>
      <c r="B17" s="121" t="s">
        <v>38</v>
      </c>
      <c r="C17" s="402" t="s">
        <v>115</v>
      </c>
      <c r="D17" s="391"/>
      <c r="E17" s="172"/>
      <c r="F17" s="172"/>
      <c r="G17" s="172"/>
      <c r="H17" s="172"/>
      <c r="I17" s="172"/>
      <c r="J17" s="1248"/>
      <c r="K17" s="123"/>
      <c r="L17" s="391"/>
      <c r="M17" s="172"/>
      <c r="N17" s="172"/>
      <c r="O17" s="172"/>
      <c r="P17" s="172"/>
      <c r="Q17" s="172"/>
      <c r="R17" s="645"/>
      <c r="S17" s="391"/>
      <c r="T17" s="172"/>
      <c r="U17" s="172"/>
      <c r="V17" s="123"/>
      <c r="W17" s="391"/>
      <c r="X17" s="172"/>
      <c r="Y17" s="172"/>
      <c r="Z17" s="172"/>
      <c r="AA17" s="172"/>
      <c r="AB17" s="172"/>
      <c r="AC17" s="172"/>
      <c r="AD17" s="123"/>
      <c r="AE17" s="677"/>
    </row>
    <row r="18" spans="1:31" s="124" customFormat="1" ht="12" customHeight="1">
      <c r="A18" s="122"/>
      <c r="B18" s="121" t="s">
        <v>39</v>
      </c>
      <c r="C18" s="402" t="s">
        <v>70</v>
      </c>
      <c r="D18" s="391"/>
      <c r="E18" s="172"/>
      <c r="F18" s="172"/>
      <c r="G18" s="172"/>
      <c r="H18" s="172"/>
      <c r="I18" s="172"/>
      <c r="J18" s="1248"/>
      <c r="K18" s="123"/>
      <c r="L18" s="391"/>
      <c r="M18" s="172"/>
      <c r="N18" s="172"/>
      <c r="O18" s="172"/>
      <c r="P18" s="172"/>
      <c r="Q18" s="172"/>
      <c r="R18" s="645"/>
      <c r="S18" s="391"/>
      <c r="T18" s="172"/>
      <c r="U18" s="172"/>
      <c r="V18" s="123"/>
      <c r="W18" s="391"/>
      <c r="X18" s="172"/>
      <c r="Y18" s="172"/>
      <c r="Z18" s="172"/>
      <c r="AA18" s="172"/>
      <c r="AB18" s="172"/>
      <c r="AC18" s="172"/>
      <c r="AD18" s="123"/>
      <c r="AE18" s="677"/>
    </row>
    <row r="19" spans="1:31" s="124" customFormat="1" ht="12" customHeight="1" thickBot="1">
      <c r="A19" s="122"/>
      <c r="B19" s="121" t="s">
        <v>256</v>
      </c>
      <c r="C19" s="402" t="s">
        <v>115</v>
      </c>
      <c r="D19" s="391"/>
      <c r="E19" s="172"/>
      <c r="F19" s="172"/>
      <c r="G19" s="172"/>
      <c r="H19" s="172"/>
      <c r="I19" s="172"/>
      <c r="J19" s="1248"/>
      <c r="K19" s="123"/>
      <c r="L19" s="391"/>
      <c r="M19" s="172"/>
      <c r="N19" s="172"/>
      <c r="O19" s="172"/>
      <c r="P19" s="172"/>
      <c r="Q19" s="172"/>
      <c r="R19" s="645"/>
      <c r="S19" s="391"/>
      <c r="T19" s="172"/>
      <c r="U19" s="172"/>
      <c r="V19" s="123"/>
      <c r="W19" s="391"/>
      <c r="X19" s="172"/>
      <c r="Y19" s="172"/>
      <c r="Z19" s="172"/>
      <c r="AA19" s="172"/>
      <c r="AB19" s="172"/>
      <c r="AC19" s="172"/>
      <c r="AD19" s="123"/>
      <c r="AE19" s="677"/>
    </row>
    <row r="20" spans="1:31" s="124" customFormat="1" ht="12" customHeight="1" thickBot="1">
      <c r="A20" s="126" t="s">
        <v>9</v>
      </c>
      <c r="B20" s="127"/>
      <c r="C20" s="400" t="s">
        <v>118</v>
      </c>
      <c r="D20" s="389">
        <f>SUM(D21:D22)</f>
        <v>0</v>
      </c>
      <c r="E20" s="171">
        <f>SUM(E21:E22)</f>
        <v>0</v>
      </c>
      <c r="F20" s="171">
        <f>SUM(F21:F22)</f>
        <v>0</v>
      </c>
      <c r="G20" s="171">
        <f>SUM(G21:G22)</f>
        <v>0</v>
      </c>
      <c r="H20" s="171">
        <f>SUM(H21:H22)</f>
        <v>0</v>
      </c>
      <c r="I20" s="171"/>
      <c r="J20" s="1247"/>
      <c r="K20" s="118"/>
      <c r="L20" s="389">
        <f>SUM(L21:L22)</f>
        <v>0</v>
      </c>
      <c r="M20" s="171">
        <f>SUM(M21:M22)</f>
        <v>0</v>
      </c>
      <c r="N20" s="171">
        <f>SUM(N21:N22)</f>
        <v>0</v>
      </c>
      <c r="O20" s="171">
        <f>SUM(O21:O22)</f>
        <v>0</v>
      </c>
      <c r="P20" s="171">
        <f>SUM(P21:P22)</f>
        <v>0</v>
      </c>
      <c r="Q20" s="171"/>
      <c r="R20" s="320"/>
      <c r="S20" s="389"/>
      <c r="T20" s="171"/>
      <c r="U20" s="171"/>
      <c r="V20" s="118"/>
      <c r="W20" s="389"/>
      <c r="X20" s="171"/>
      <c r="Y20" s="171"/>
      <c r="Z20" s="171"/>
      <c r="AA20" s="171"/>
      <c r="AB20" s="171"/>
      <c r="AC20" s="171"/>
      <c r="AD20" s="118"/>
      <c r="AE20" s="229"/>
    </row>
    <row r="21" spans="1:31" s="119" customFormat="1" ht="12" customHeight="1">
      <c r="A21" s="128"/>
      <c r="B21" s="129" t="s">
        <v>40</v>
      </c>
      <c r="C21" s="423" t="s">
        <v>120</v>
      </c>
      <c r="D21" s="392"/>
      <c r="E21" s="173"/>
      <c r="F21" s="173"/>
      <c r="G21" s="173"/>
      <c r="H21" s="173"/>
      <c r="I21" s="173"/>
      <c r="J21" s="1249"/>
      <c r="K21" s="130"/>
      <c r="L21" s="392"/>
      <c r="M21" s="173"/>
      <c r="N21" s="173"/>
      <c r="O21" s="173"/>
      <c r="P21" s="173"/>
      <c r="Q21" s="173"/>
      <c r="R21" s="646"/>
      <c r="S21" s="392"/>
      <c r="T21" s="173"/>
      <c r="U21" s="173"/>
      <c r="V21" s="130"/>
      <c r="W21" s="392"/>
      <c r="X21" s="173"/>
      <c r="Y21" s="173"/>
      <c r="Z21" s="173"/>
      <c r="AA21" s="173"/>
      <c r="AB21" s="173"/>
      <c r="AC21" s="173"/>
      <c r="AD21" s="130"/>
      <c r="AE21" s="678"/>
    </row>
    <row r="22" spans="1:31" s="119" customFormat="1" ht="12" customHeight="1" thickBot="1">
      <c r="A22" s="131"/>
      <c r="B22" s="132" t="s">
        <v>41</v>
      </c>
      <c r="C22" s="424" t="s">
        <v>122</v>
      </c>
      <c r="D22" s="393"/>
      <c r="E22" s="174"/>
      <c r="F22" s="174"/>
      <c r="G22" s="174"/>
      <c r="H22" s="174"/>
      <c r="I22" s="174"/>
      <c r="J22" s="1250"/>
      <c r="K22" s="133"/>
      <c r="L22" s="393"/>
      <c r="M22" s="174"/>
      <c r="N22" s="174"/>
      <c r="O22" s="174"/>
      <c r="P22" s="174"/>
      <c r="Q22" s="174"/>
      <c r="R22" s="647"/>
      <c r="S22" s="393"/>
      <c r="T22" s="174"/>
      <c r="U22" s="174"/>
      <c r="V22" s="133"/>
      <c r="W22" s="393"/>
      <c r="X22" s="174"/>
      <c r="Y22" s="174"/>
      <c r="Z22" s="174"/>
      <c r="AA22" s="174"/>
      <c r="AB22" s="174"/>
      <c r="AC22" s="174"/>
      <c r="AD22" s="133"/>
      <c r="AE22" s="679"/>
    </row>
    <row r="23" spans="1:31" s="119" customFormat="1" ht="12" customHeight="1" hidden="1" thickBot="1">
      <c r="A23" s="126" t="s">
        <v>10</v>
      </c>
      <c r="B23" s="117"/>
      <c r="D23" s="394"/>
      <c r="E23" s="175"/>
      <c r="F23" s="175"/>
      <c r="G23" s="175"/>
      <c r="H23" s="175"/>
      <c r="I23" s="175"/>
      <c r="J23" s="1251" t="e">
        <f>H23/F23</f>
        <v>#DIV/0!</v>
      </c>
      <c r="K23" s="134"/>
      <c r="L23" s="394"/>
      <c r="M23" s="175"/>
      <c r="N23" s="175"/>
      <c r="O23" s="175"/>
      <c r="P23" s="175"/>
      <c r="Q23" s="175"/>
      <c r="R23" s="648" t="e">
        <f>P23/N23</f>
        <v>#DIV/0!</v>
      </c>
      <c r="S23" s="394"/>
      <c r="T23" s="175"/>
      <c r="U23" s="175"/>
      <c r="V23" s="134"/>
      <c r="W23" s="394"/>
      <c r="X23" s="175"/>
      <c r="Y23" s="175"/>
      <c r="Z23" s="175"/>
      <c r="AA23" s="175"/>
      <c r="AB23" s="175"/>
      <c r="AC23" s="175"/>
      <c r="AD23" s="134"/>
      <c r="AE23" s="226"/>
    </row>
    <row r="24" spans="1:31" s="119" customFormat="1" ht="12" customHeight="1" thickBot="1">
      <c r="A24" s="111" t="s">
        <v>10</v>
      </c>
      <c r="B24" s="135"/>
      <c r="C24" s="400" t="s">
        <v>124</v>
      </c>
      <c r="D24" s="389">
        <f aca="true" t="shared" si="3" ref="D24:R24">D9+D14+D15+D20+D23</f>
        <v>50100</v>
      </c>
      <c r="E24" s="171">
        <f t="shared" si="3"/>
        <v>50100</v>
      </c>
      <c r="F24" s="171">
        <f>F9+F14+F15+F20+F23</f>
        <v>50100</v>
      </c>
      <c r="G24" s="171">
        <f>G9+G14+G15+G20+G23</f>
        <v>175623</v>
      </c>
      <c r="H24" s="171">
        <f t="shared" si="3"/>
        <v>0</v>
      </c>
      <c r="I24" s="171">
        <f t="shared" si="3"/>
        <v>0</v>
      </c>
      <c r="J24" s="171" t="e">
        <f t="shared" si="3"/>
        <v>#DIV/0!</v>
      </c>
      <c r="K24" s="118">
        <f t="shared" si="3"/>
        <v>0</v>
      </c>
      <c r="L24" s="389">
        <f t="shared" si="3"/>
        <v>50100</v>
      </c>
      <c r="M24" s="171">
        <f t="shared" si="3"/>
        <v>50100</v>
      </c>
      <c r="N24" s="171">
        <f>N9+N14+N15+N20+N23</f>
        <v>50100</v>
      </c>
      <c r="O24" s="171">
        <f>O9+O14+O15+O20+O23</f>
        <v>175623</v>
      </c>
      <c r="P24" s="171">
        <f t="shared" si="3"/>
        <v>0</v>
      </c>
      <c r="Q24" s="171">
        <f t="shared" si="3"/>
        <v>0</v>
      </c>
      <c r="R24" s="118" t="e">
        <f t="shared" si="3"/>
        <v>#DIV/0!</v>
      </c>
      <c r="S24" s="389"/>
      <c r="T24" s="171"/>
      <c r="U24" s="171"/>
      <c r="V24" s="118"/>
      <c r="W24" s="389"/>
      <c r="X24" s="171"/>
      <c r="Y24" s="171"/>
      <c r="Z24" s="171"/>
      <c r="AA24" s="171"/>
      <c r="AB24" s="171"/>
      <c r="AC24" s="171"/>
      <c r="AD24" s="118"/>
      <c r="AE24" s="229"/>
    </row>
    <row r="25" spans="1:31" s="124" customFormat="1" ht="12" customHeight="1" thickBot="1">
      <c r="A25" s="136" t="s">
        <v>11</v>
      </c>
      <c r="B25" s="137"/>
      <c r="C25" s="425" t="s">
        <v>125</v>
      </c>
      <c r="D25" s="395">
        <f aca="true" t="shared" si="4" ref="D25:I25">SUM(D26:D28)</f>
        <v>112193156</v>
      </c>
      <c r="E25" s="176">
        <f>SUM(E26:E28)</f>
        <v>112193156</v>
      </c>
      <c r="F25" s="176">
        <f>SUM(F26:F28)</f>
        <v>112193156</v>
      </c>
      <c r="G25" s="176">
        <f>SUM(G26:G28)</f>
        <v>108080717</v>
      </c>
      <c r="H25" s="176">
        <f t="shared" si="4"/>
        <v>0</v>
      </c>
      <c r="I25" s="176">
        <f t="shared" si="4"/>
        <v>0</v>
      </c>
      <c r="J25" s="1247" t="e">
        <f>I25/H25</f>
        <v>#DIV/0!</v>
      </c>
      <c r="K25" s="520">
        <f aca="true" t="shared" si="5" ref="K25:U25">SUM(K26:K28)</f>
        <v>0</v>
      </c>
      <c r="L25" s="395">
        <f t="shared" si="5"/>
        <v>110754273</v>
      </c>
      <c r="M25" s="176">
        <f t="shared" si="5"/>
        <v>110754273</v>
      </c>
      <c r="N25" s="176">
        <f t="shared" si="5"/>
        <v>110754273</v>
      </c>
      <c r="O25" s="176">
        <f>SUM(O26:O28)</f>
        <v>106526344</v>
      </c>
      <c r="P25" s="176">
        <f t="shared" si="5"/>
        <v>0</v>
      </c>
      <c r="Q25" s="176">
        <f t="shared" si="5"/>
        <v>0</v>
      </c>
      <c r="R25" s="520">
        <f t="shared" si="5"/>
        <v>0</v>
      </c>
      <c r="S25" s="395">
        <f t="shared" si="5"/>
        <v>1438883</v>
      </c>
      <c r="T25" s="176">
        <f t="shared" si="5"/>
        <v>1438883</v>
      </c>
      <c r="U25" s="176">
        <f t="shared" si="5"/>
        <v>1438883</v>
      </c>
      <c r="V25" s="520">
        <f>SUM(V26:V28)</f>
        <v>1554373</v>
      </c>
      <c r="W25" s="395">
        <f aca="true" t="shared" si="6" ref="W25:AB25">SUM(W26:W28)</f>
        <v>7923383</v>
      </c>
      <c r="X25" s="176">
        <f>SUM(X26:X28)</f>
        <v>7923383</v>
      </c>
      <c r="Y25" s="176">
        <f>SUM(Y26:Y28)</f>
        <v>7923383</v>
      </c>
      <c r="Z25" s="176">
        <f>SUM(Z26:Z28)</f>
        <v>7923383</v>
      </c>
      <c r="AA25" s="176">
        <f t="shared" si="6"/>
        <v>0</v>
      </c>
      <c r="AB25" s="176">
        <f t="shared" si="6"/>
        <v>0</v>
      </c>
      <c r="AC25" s="171"/>
      <c r="AD25" s="118"/>
      <c r="AE25" s="229"/>
    </row>
    <row r="26" spans="1:31" s="124" customFormat="1" ht="15" customHeight="1" thickBot="1">
      <c r="A26" s="120"/>
      <c r="B26" s="138" t="s">
        <v>42</v>
      </c>
      <c r="C26" s="423" t="s">
        <v>127</v>
      </c>
      <c r="D26" s="392">
        <v>2080753</v>
      </c>
      <c r="E26" s="173">
        <v>2080753</v>
      </c>
      <c r="F26" s="173">
        <v>2080753</v>
      </c>
      <c r="G26" s="173">
        <v>2081317</v>
      </c>
      <c r="H26" s="173"/>
      <c r="I26" s="173"/>
      <c r="J26" s="1252"/>
      <c r="K26" s="130"/>
      <c r="L26" s="392">
        <f aca="true" t="shared" si="7" ref="L26:O27">+D26-S26</f>
        <v>2080753</v>
      </c>
      <c r="M26" s="173">
        <f t="shared" si="7"/>
        <v>2080753</v>
      </c>
      <c r="N26" s="173">
        <f t="shared" si="7"/>
        <v>2080753</v>
      </c>
      <c r="O26" s="173">
        <v>2081317</v>
      </c>
      <c r="P26" s="173"/>
      <c r="Q26" s="173"/>
      <c r="R26" s="676"/>
      <c r="S26" s="392"/>
      <c r="T26" s="173"/>
      <c r="U26" s="173"/>
      <c r="V26" s="130"/>
      <c r="W26" s="392"/>
      <c r="X26" s="173"/>
      <c r="Y26" s="173"/>
      <c r="Z26" s="173"/>
      <c r="AA26" s="173"/>
      <c r="AB26" s="173"/>
      <c r="AC26" s="399"/>
      <c r="AD26" s="230"/>
      <c r="AE26" s="1241"/>
    </row>
    <row r="27" spans="1:31" s="124" customFormat="1" ht="15" customHeight="1">
      <c r="A27" s="521"/>
      <c r="B27" s="522" t="s">
        <v>43</v>
      </c>
      <c r="C27" s="423" t="s">
        <v>424</v>
      </c>
      <c r="D27" s="523">
        <v>110112403</v>
      </c>
      <c r="E27" s="524">
        <v>110112403</v>
      </c>
      <c r="F27" s="524">
        <v>110112403</v>
      </c>
      <c r="G27" s="524">
        <v>105999400</v>
      </c>
      <c r="H27" s="524"/>
      <c r="I27" s="524"/>
      <c r="J27" s="1252"/>
      <c r="K27" s="528"/>
      <c r="L27" s="407">
        <f t="shared" si="7"/>
        <v>108673520</v>
      </c>
      <c r="M27" s="179">
        <f t="shared" si="7"/>
        <v>108673520</v>
      </c>
      <c r="N27" s="179">
        <f t="shared" si="7"/>
        <v>108673520</v>
      </c>
      <c r="O27" s="179">
        <f t="shared" si="7"/>
        <v>104445027</v>
      </c>
      <c r="P27" s="524"/>
      <c r="Q27" s="524"/>
      <c r="R27" s="676"/>
      <c r="S27" s="523">
        <v>1438883</v>
      </c>
      <c r="T27" s="524">
        <v>1438883</v>
      </c>
      <c r="U27" s="524">
        <v>1438883</v>
      </c>
      <c r="V27" s="528">
        <v>1554373</v>
      </c>
      <c r="W27" s="525">
        <v>7923383</v>
      </c>
      <c r="X27" s="526">
        <v>7923383</v>
      </c>
      <c r="Y27" s="526">
        <v>7923383</v>
      </c>
      <c r="Z27" s="526">
        <v>7923383</v>
      </c>
      <c r="AA27" s="526"/>
      <c r="AB27" s="526"/>
      <c r="AC27" s="526"/>
      <c r="AD27" s="527"/>
      <c r="AE27" s="1014"/>
    </row>
    <row r="28" spans="1:31" s="124" customFormat="1" ht="15" customHeight="1" thickBot="1">
      <c r="A28" s="139"/>
      <c r="B28" s="140" t="s">
        <v>68</v>
      </c>
      <c r="C28" s="426" t="s">
        <v>129</v>
      </c>
      <c r="D28" s="396"/>
      <c r="E28" s="177"/>
      <c r="F28" s="177"/>
      <c r="G28" s="177"/>
      <c r="H28" s="177"/>
      <c r="I28" s="177"/>
      <c r="J28" s="1253"/>
      <c r="K28" s="141"/>
      <c r="L28" s="396"/>
      <c r="M28" s="177"/>
      <c r="N28" s="177"/>
      <c r="O28" s="177"/>
      <c r="P28" s="177"/>
      <c r="Q28" s="177"/>
      <c r="R28" s="649"/>
      <c r="S28" s="396"/>
      <c r="T28" s="177"/>
      <c r="U28" s="177"/>
      <c r="V28" s="141"/>
      <c r="W28" s="396"/>
      <c r="X28" s="177"/>
      <c r="Y28" s="177"/>
      <c r="Z28" s="177"/>
      <c r="AA28" s="177"/>
      <c r="AB28" s="177"/>
      <c r="AC28" s="177"/>
      <c r="AD28" s="141"/>
      <c r="AE28" s="680"/>
    </row>
    <row r="29" spans="1:31" ht="13.5" hidden="1" thickBot="1">
      <c r="A29" s="142" t="s">
        <v>12</v>
      </c>
      <c r="B29" s="143"/>
      <c r="C29" s="404" t="s">
        <v>130</v>
      </c>
      <c r="D29" s="394"/>
      <c r="E29" s="175"/>
      <c r="F29" s="175"/>
      <c r="G29" s="175"/>
      <c r="H29" s="175"/>
      <c r="I29" s="175"/>
      <c r="J29" s="1251" t="e">
        <f>H29/F29</f>
        <v>#DIV/0!</v>
      </c>
      <c r="K29" s="134"/>
      <c r="L29" s="394"/>
      <c r="M29" s="175"/>
      <c r="N29" s="175"/>
      <c r="O29" s="175"/>
      <c r="P29" s="175"/>
      <c r="Q29" s="175"/>
      <c r="R29" s="648" t="e">
        <f>P29/N29</f>
        <v>#DIV/0!</v>
      </c>
      <c r="S29" s="394"/>
      <c r="T29" s="175"/>
      <c r="U29" s="175"/>
      <c r="V29" s="134"/>
      <c r="W29" s="394"/>
      <c r="X29" s="175"/>
      <c r="Y29" s="175"/>
      <c r="Z29" s="175"/>
      <c r="AA29" s="175"/>
      <c r="AB29" s="175"/>
      <c r="AC29" s="175"/>
      <c r="AD29" s="134"/>
      <c r="AE29" s="226"/>
    </row>
    <row r="30" spans="1:31" s="114" customFormat="1" ht="16.5" customHeight="1" thickBot="1">
      <c r="A30" s="142" t="s">
        <v>12</v>
      </c>
      <c r="B30" s="144"/>
      <c r="C30" s="1238" t="s">
        <v>259</v>
      </c>
      <c r="D30" s="397">
        <f aca="true" t="shared" si="8" ref="D30:I30">D24+D29+D25</f>
        <v>112243256</v>
      </c>
      <c r="E30" s="178">
        <f>E24+E29+E25</f>
        <v>112243256</v>
      </c>
      <c r="F30" s="178">
        <f>F24+F29+F25</f>
        <v>112243256</v>
      </c>
      <c r="G30" s="178">
        <f>G24+G29+G25</f>
        <v>108256340</v>
      </c>
      <c r="H30" s="178">
        <f t="shared" si="8"/>
        <v>0</v>
      </c>
      <c r="I30" s="178">
        <f t="shared" si="8"/>
        <v>0</v>
      </c>
      <c r="J30" s="1247" t="e">
        <f>I30/H30</f>
        <v>#DIV/0!</v>
      </c>
      <c r="K30" s="163">
        <f aca="true" t="shared" si="9" ref="K30:U30">K24+K29+K25</f>
        <v>0</v>
      </c>
      <c r="L30" s="397">
        <f t="shared" si="9"/>
        <v>110804373</v>
      </c>
      <c r="M30" s="178">
        <f t="shared" si="9"/>
        <v>110804373</v>
      </c>
      <c r="N30" s="178">
        <f t="shared" si="9"/>
        <v>110804373</v>
      </c>
      <c r="O30" s="178">
        <f>O24+O29+O25</f>
        <v>106701967</v>
      </c>
      <c r="P30" s="178">
        <f t="shared" si="9"/>
        <v>0</v>
      </c>
      <c r="Q30" s="178">
        <f t="shared" si="9"/>
        <v>0</v>
      </c>
      <c r="R30" s="163" t="e">
        <f t="shared" si="9"/>
        <v>#DIV/0!</v>
      </c>
      <c r="S30" s="397">
        <f t="shared" si="9"/>
        <v>1438883</v>
      </c>
      <c r="T30" s="178">
        <f t="shared" si="9"/>
        <v>1438883</v>
      </c>
      <c r="U30" s="178">
        <f t="shared" si="9"/>
        <v>1438883</v>
      </c>
      <c r="V30" s="163">
        <f>V24+V29+V25</f>
        <v>1554373</v>
      </c>
      <c r="W30" s="397">
        <f aca="true" t="shared" si="10" ref="W30:AB30">W24+W29+W25</f>
        <v>7923383</v>
      </c>
      <c r="X30" s="178">
        <f>X24+X29+X25</f>
        <v>7923383</v>
      </c>
      <c r="Y30" s="178">
        <f>Y24+Y29+Y25</f>
        <v>7923383</v>
      </c>
      <c r="Z30" s="178">
        <f>Z24+Z29+Z25</f>
        <v>7923383</v>
      </c>
      <c r="AA30" s="178">
        <f t="shared" si="10"/>
        <v>0</v>
      </c>
      <c r="AB30" s="178">
        <f t="shared" si="10"/>
        <v>0</v>
      </c>
      <c r="AC30" s="178"/>
      <c r="AD30" s="163"/>
      <c r="AE30" s="231"/>
    </row>
    <row r="31" spans="1:24" s="149" customFormat="1" ht="12" customHeight="1">
      <c r="A31" s="146"/>
      <c r="B31" s="146"/>
      <c r="C31" s="147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</row>
    <row r="32" spans="1:24" ht="12" customHeight="1" thickBot="1">
      <c r="A32" s="150"/>
      <c r="B32" s="151"/>
      <c r="C32" s="151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30" ht="12" customHeight="1" thickBot="1">
      <c r="A33" s="153"/>
      <c r="B33" s="154"/>
      <c r="C33" s="155" t="s">
        <v>132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397"/>
      <c r="X33" s="397"/>
      <c r="Y33" s="178"/>
      <c r="Z33" s="178"/>
      <c r="AA33" s="178"/>
      <c r="AB33" s="753"/>
      <c r="AC33" s="163"/>
      <c r="AD33" s="145"/>
    </row>
    <row r="34" spans="1:31" ht="12" customHeight="1" thickBot="1">
      <c r="A34" s="126" t="s">
        <v>26</v>
      </c>
      <c r="B34" s="156"/>
      <c r="C34" s="400" t="s">
        <v>133</v>
      </c>
      <c r="D34" s="389">
        <f aca="true" t="shared" si="11" ref="D34:I34">SUM(D35:D39)</f>
        <v>111354256</v>
      </c>
      <c r="E34" s="171">
        <f>SUM(E35:E39)</f>
        <v>111354256</v>
      </c>
      <c r="F34" s="171">
        <f>SUM(F35:F39)</f>
        <v>111354256</v>
      </c>
      <c r="G34" s="118">
        <f>SUM(G35:G39)</f>
        <v>107740230</v>
      </c>
      <c r="H34" s="389">
        <f t="shared" si="11"/>
        <v>0</v>
      </c>
      <c r="I34" s="389">
        <f t="shared" si="11"/>
        <v>0</v>
      </c>
      <c r="J34" s="320" t="e">
        <f>I34/H34</f>
        <v>#DIV/0!</v>
      </c>
      <c r="K34" s="383">
        <f aca="true" t="shared" si="12" ref="K34:U34">SUM(K35:K39)</f>
        <v>0</v>
      </c>
      <c r="L34" s="389">
        <f t="shared" si="12"/>
        <v>109915373</v>
      </c>
      <c r="M34" s="171">
        <f t="shared" si="12"/>
        <v>109915373</v>
      </c>
      <c r="N34" s="171">
        <f t="shared" si="12"/>
        <v>109915373</v>
      </c>
      <c r="O34" s="118">
        <f>SUM(O35:O39)</f>
        <v>106185857</v>
      </c>
      <c r="P34" s="389">
        <f t="shared" si="12"/>
        <v>0</v>
      </c>
      <c r="Q34" s="389">
        <f t="shared" si="12"/>
        <v>0</v>
      </c>
      <c r="R34" s="389">
        <f t="shared" si="12"/>
        <v>0</v>
      </c>
      <c r="S34" s="389">
        <f t="shared" si="12"/>
        <v>1438883</v>
      </c>
      <c r="T34" s="171">
        <f t="shared" si="12"/>
        <v>1438883</v>
      </c>
      <c r="U34" s="171">
        <f t="shared" si="12"/>
        <v>1438883</v>
      </c>
      <c r="V34" s="118">
        <f>SUM(V35:V39)</f>
        <v>1554373</v>
      </c>
      <c r="W34" s="389">
        <f aca="true" t="shared" si="13" ref="W34:AB34">SUM(W35:W39)</f>
        <v>7923383</v>
      </c>
      <c r="X34" s="171">
        <f>SUM(X35:X39)</f>
        <v>7923383</v>
      </c>
      <c r="Y34" s="171">
        <f>SUM(Y35:Y39)</f>
        <v>7923383</v>
      </c>
      <c r="Z34" s="118">
        <f>SUM(Z35:Z39)</f>
        <v>7923383</v>
      </c>
      <c r="AA34" s="389">
        <f t="shared" si="13"/>
        <v>5610894</v>
      </c>
      <c r="AB34" s="389">
        <f t="shared" si="13"/>
        <v>0</v>
      </c>
      <c r="AC34" s="320">
        <f>AB34/AA34</f>
        <v>0</v>
      </c>
      <c r="AD34" s="412"/>
      <c r="AE34" s="118">
        <f>SUM(AE35:AE39)</f>
        <v>0</v>
      </c>
    </row>
    <row r="35" spans="1:31" ht="12" customHeight="1">
      <c r="A35" s="157"/>
      <c r="B35" s="158" t="s">
        <v>107</v>
      </c>
      <c r="C35" s="401" t="s">
        <v>134</v>
      </c>
      <c r="D35" s="407">
        <v>81429324</v>
      </c>
      <c r="E35" s="179">
        <v>81429324</v>
      </c>
      <c r="F35" s="179">
        <v>81499657</v>
      </c>
      <c r="G35" s="1257">
        <v>80704993</v>
      </c>
      <c r="H35" s="407"/>
      <c r="I35" s="407"/>
      <c r="J35" s="676"/>
      <c r="K35" s="674"/>
      <c r="L35" s="407">
        <f aca="true" t="shared" si="14" ref="L35:O37">+D35-S35</f>
        <v>80163701</v>
      </c>
      <c r="M35" s="179">
        <f t="shared" si="14"/>
        <v>80163701</v>
      </c>
      <c r="N35" s="179">
        <f t="shared" si="14"/>
        <v>80234034</v>
      </c>
      <c r="O35" s="1257">
        <f t="shared" si="14"/>
        <v>79439370</v>
      </c>
      <c r="P35" s="407"/>
      <c r="Q35" s="407"/>
      <c r="R35" s="676"/>
      <c r="S35" s="407">
        <v>1265623</v>
      </c>
      <c r="T35" s="179">
        <v>1265623</v>
      </c>
      <c r="U35" s="179">
        <v>1265623</v>
      </c>
      <c r="V35" s="1257">
        <v>1265623</v>
      </c>
      <c r="W35" s="391">
        <v>5806094</v>
      </c>
      <c r="X35" s="172">
        <v>5806094</v>
      </c>
      <c r="Y35" s="172">
        <v>5806094</v>
      </c>
      <c r="Z35" s="123">
        <v>5806094</v>
      </c>
      <c r="AA35" s="391">
        <v>3626473</v>
      </c>
      <c r="AB35" s="391"/>
      <c r="AC35" s="676">
        <f>AB35/AA35</f>
        <v>0</v>
      </c>
      <c r="AD35" s="413"/>
      <c r="AE35" s="123"/>
    </row>
    <row r="36" spans="1:31" ht="12" customHeight="1">
      <c r="A36" s="159"/>
      <c r="B36" s="160" t="s">
        <v>108</v>
      </c>
      <c r="C36" s="402" t="s">
        <v>49</v>
      </c>
      <c r="D36" s="408">
        <v>14692021</v>
      </c>
      <c r="E36" s="180">
        <v>14692021</v>
      </c>
      <c r="F36" s="180">
        <v>14621688</v>
      </c>
      <c r="G36" s="161">
        <v>13341852</v>
      </c>
      <c r="H36" s="408"/>
      <c r="I36" s="408"/>
      <c r="J36" s="676"/>
      <c r="K36" s="415"/>
      <c r="L36" s="407">
        <f t="shared" si="14"/>
        <v>14518761</v>
      </c>
      <c r="M36" s="179">
        <f t="shared" si="14"/>
        <v>14518761</v>
      </c>
      <c r="N36" s="179">
        <f t="shared" si="14"/>
        <v>14448428</v>
      </c>
      <c r="O36" s="1257">
        <f t="shared" si="14"/>
        <v>13053102</v>
      </c>
      <c r="P36" s="408"/>
      <c r="Q36" s="408"/>
      <c r="R36" s="676"/>
      <c r="S36" s="408">
        <v>173260</v>
      </c>
      <c r="T36" s="180">
        <v>173260</v>
      </c>
      <c r="U36" s="180">
        <v>173260</v>
      </c>
      <c r="V36" s="161">
        <v>288750</v>
      </c>
      <c r="W36" s="391">
        <v>1031148</v>
      </c>
      <c r="X36" s="172">
        <v>1031148</v>
      </c>
      <c r="Y36" s="172">
        <v>1031148</v>
      </c>
      <c r="Z36" s="123">
        <v>1031148</v>
      </c>
      <c r="AA36" s="391">
        <v>799596</v>
      </c>
      <c r="AB36" s="391"/>
      <c r="AC36" s="676">
        <f>AB36/AA36</f>
        <v>0</v>
      </c>
      <c r="AD36" s="413"/>
      <c r="AE36" s="123"/>
    </row>
    <row r="37" spans="1:31" ht="12" customHeight="1">
      <c r="A37" s="159"/>
      <c r="B37" s="160" t="s">
        <v>109</v>
      </c>
      <c r="C37" s="402" t="s">
        <v>135</v>
      </c>
      <c r="D37" s="408">
        <v>15232911</v>
      </c>
      <c r="E37" s="180">
        <v>15232911</v>
      </c>
      <c r="F37" s="180">
        <v>15232911</v>
      </c>
      <c r="G37" s="161">
        <v>13693385</v>
      </c>
      <c r="H37" s="408"/>
      <c r="I37" s="408"/>
      <c r="J37" s="676"/>
      <c r="K37" s="415"/>
      <c r="L37" s="407">
        <f t="shared" si="14"/>
        <v>15232911</v>
      </c>
      <c r="M37" s="179">
        <f t="shared" si="14"/>
        <v>15232911</v>
      </c>
      <c r="N37" s="179">
        <f t="shared" si="14"/>
        <v>15232911</v>
      </c>
      <c r="O37" s="1257">
        <f t="shared" si="14"/>
        <v>13693385</v>
      </c>
      <c r="P37" s="408"/>
      <c r="Q37" s="408"/>
      <c r="R37" s="676"/>
      <c r="S37" s="408"/>
      <c r="T37" s="180"/>
      <c r="U37" s="180"/>
      <c r="V37" s="161"/>
      <c r="W37" s="391">
        <v>1086141</v>
      </c>
      <c r="X37" s="172">
        <v>1086141</v>
      </c>
      <c r="Y37" s="172">
        <v>1086141</v>
      </c>
      <c r="Z37" s="123">
        <v>1086141</v>
      </c>
      <c r="AA37" s="391">
        <v>1184825</v>
      </c>
      <c r="AB37" s="391"/>
      <c r="AC37" s="676">
        <f>AB37/AA37</f>
        <v>0</v>
      </c>
      <c r="AD37" s="413"/>
      <c r="AE37" s="123"/>
    </row>
    <row r="38" spans="1:31" s="149" customFormat="1" ht="12" customHeight="1">
      <c r="A38" s="159"/>
      <c r="B38" s="160" t="s">
        <v>110</v>
      </c>
      <c r="C38" s="402" t="s">
        <v>78</v>
      </c>
      <c r="D38" s="408"/>
      <c r="E38" s="180"/>
      <c r="F38" s="180"/>
      <c r="G38" s="161"/>
      <c r="H38" s="408"/>
      <c r="I38" s="408"/>
      <c r="J38" s="676"/>
      <c r="K38" s="415"/>
      <c r="L38" s="408"/>
      <c r="M38" s="180"/>
      <c r="N38" s="180"/>
      <c r="O38" s="161"/>
      <c r="P38" s="408"/>
      <c r="Q38" s="408"/>
      <c r="R38" s="676"/>
      <c r="S38" s="408"/>
      <c r="T38" s="180"/>
      <c r="U38" s="180"/>
      <c r="V38" s="161"/>
      <c r="W38" s="391"/>
      <c r="X38" s="172"/>
      <c r="Y38" s="172"/>
      <c r="Z38" s="123"/>
      <c r="AA38" s="391"/>
      <c r="AB38" s="391"/>
      <c r="AC38" s="123"/>
      <c r="AD38" s="414"/>
      <c r="AE38" s="123"/>
    </row>
    <row r="39" spans="1:31" ht="12" customHeight="1" thickBot="1">
      <c r="A39" s="159"/>
      <c r="B39" s="160" t="s">
        <v>48</v>
      </c>
      <c r="C39" s="402" t="s">
        <v>80</v>
      </c>
      <c r="D39" s="408"/>
      <c r="E39" s="180"/>
      <c r="F39" s="180"/>
      <c r="G39" s="161"/>
      <c r="H39" s="408"/>
      <c r="I39" s="408"/>
      <c r="J39" s="676"/>
      <c r="K39" s="415"/>
      <c r="L39" s="408"/>
      <c r="M39" s="180"/>
      <c r="N39" s="180"/>
      <c r="O39" s="161"/>
      <c r="P39" s="408"/>
      <c r="Q39" s="408"/>
      <c r="R39" s="676"/>
      <c r="S39" s="408"/>
      <c r="T39" s="180"/>
      <c r="U39" s="180"/>
      <c r="V39" s="161"/>
      <c r="W39" s="408"/>
      <c r="X39" s="180"/>
      <c r="Y39" s="180"/>
      <c r="Z39" s="161"/>
      <c r="AA39" s="408"/>
      <c r="AB39" s="408"/>
      <c r="AC39" s="161"/>
      <c r="AD39" s="415"/>
      <c r="AE39" s="161"/>
    </row>
    <row r="40" spans="1:31" ht="12" customHeight="1" thickBot="1">
      <c r="A40" s="126" t="s">
        <v>27</v>
      </c>
      <c r="B40" s="156"/>
      <c r="C40" s="400" t="s">
        <v>136</v>
      </c>
      <c r="D40" s="389">
        <f aca="true" t="shared" si="15" ref="D40:I40">SUM(D41:D44)</f>
        <v>889000</v>
      </c>
      <c r="E40" s="171">
        <f>SUM(E41:E44)</f>
        <v>889000</v>
      </c>
      <c r="F40" s="171">
        <f>SUM(F41:F44)</f>
        <v>889000</v>
      </c>
      <c r="G40" s="118">
        <f>SUM(G41:G44)</f>
        <v>516110</v>
      </c>
      <c r="H40" s="389">
        <f t="shared" si="15"/>
        <v>0</v>
      </c>
      <c r="I40" s="389">
        <f t="shared" si="15"/>
        <v>0</v>
      </c>
      <c r="J40" s="320" t="e">
        <f>I40/H40</f>
        <v>#DIV/0!</v>
      </c>
      <c r="K40" s="383">
        <f aca="true" t="shared" si="16" ref="K40:Q40">SUM(K41:K44)</f>
        <v>0</v>
      </c>
      <c r="L40" s="389">
        <f t="shared" si="16"/>
        <v>889000</v>
      </c>
      <c r="M40" s="171">
        <f>SUM(M41:M44)</f>
        <v>889000</v>
      </c>
      <c r="N40" s="171">
        <f>SUM(N41:N44)</f>
        <v>889000</v>
      </c>
      <c r="O40" s="118">
        <f>SUM(O41:O44)</f>
        <v>516110</v>
      </c>
      <c r="P40" s="389">
        <f t="shared" si="16"/>
        <v>0</v>
      </c>
      <c r="Q40" s="389">
        <f t="shared" si="16"/>
        <v>0</v>
      </c>
      <c r="R40" s="320" t="e">
        <f>Q40/P40</f>
        <v>#DIV/0!</v>
      </c>
      <c r="S40" s="389"/>
      <c r="T40" s="171"/>
      <c r="U40" s="171"/>
      <c r="V40" s="118"/>
      <c r="W40" s="389">
        <f aca="true" t="shared" si="17" ref="W40:AC40">SUM(W41:W44)</f>
        <v>0</v>
      </c>
      <c r="X40" s="171">
        <f>SUM(X41:X44)</f>
        <v>0</v>
      </c>
      <c r="Y40" s="171">
        <f>SUM(Y41:Y44)</f>
        <v>0</v>
      </c>
      <c r="Z40" s="118">
        <f>SUM(Z41:Z44)</f>
        <v>0</v>
      </c>
      <c r="AA40" s="389">
        <f t="shared" si="17"/>
        <v>0</v>
      </c>
      <c r="AB40" s="389">
        <f t="shared" si="17"/>
        <v>0</v>
      </c>
      <c r="AC40" s="118">
        <f t="shared" si="17"/>
        <v>0</v>
      </c>
      <c r="AD40" s="383"/>
      <c r="AE40" s="118">
        <f>SUM(AE41:AE44)</f>
        <v>0</v>
      </c>
    </row>
    <row r="41" spans="1:31" ht="12" customHeight="1">
      <c r="A41" s="157"/>
      <c r="B41" s="158" t="s">
        <v>137</v>
      </c>
      <c r="C41" s="401" t="s">
        <v>90</v>
      </c>
      <c r="D41" s="408">
        <v>889000</v>
      </c>
      <c r="E41" s="180">
        <v>889000</v>
      </c>
      <c r="F41" s="180">
        <v>889000</v>
      </c>
      <c r="G41" s="161">
        <v>516110</v>
      </c>
      <c r="H41" s="407"/>
      <c r="I41" s="407"/>
      <c r="J41" s="676"/>
      <c r="K41" s="674"/>
      <c r="L41" s="407">
        <f>+D41-S41</f>
        <v>889000</v>
      </c>
      <c r="M41" s="179">
        <f>+E41-T41</f>
        <v>889000</v>
      </c>
      <c r="N41" s="179">
        <f>+F41-U41</f>
        <v>889000</v>
      </c>
      <c r="O41" s="161">
        <v>516110</v>
      </c>
      <c r="P41" s="407"/>
      <c r="Q41" s="407"/>
      <c r="R41" s="676" t="e">
        <f>Q41/P41</f>
        <v>#DIV/0!</v>
      </c>
      <c r="S41" s="407"/>
      <c r="T41" s="179"/>
      <c r="U41" s="179"/>
      <c r="V41" s="1257"/>
      <c r="W41" s="391"/>
      <c r="X41" s="172"/>
      <c r="Y41" s="172"/>
      <c r="Z41" s="123"/>
      <c r="AA41" s="391"/>
      <c r="AB41" s="391"/>
      <c r="AC41" s="123"/>
      <c r="AD41" s="414"/>
      <c r="AE41" s="123"/>
    </row>
    <row r="42" spans="1:31" ht="12" customHeight="1">
      <c r="A42" s="159"/>
      <c r="B42" s="160" t="s">
        <v>138</v>
      </c>
      <c r="C42" s="402" t="s">
        <v>91</v>
      </c>
      <c r="D42" s="408"/>
      <c r="E42" s="180"/>
      <c r="F42" s="180"/>
      <c r="G42" s="161"/>
      <c r="H42" s="408"/>
      <c r="I42" s="408"/>
      <c r="J42" s="180"/>
      <c r="K42" s="415"/>
      <c r="L42" s="408"/>
      <c r="M42" s="180"/>
      <c r="N42" s="180"/>
      <c r="O42" s="161"/>
      <c r="P42" s="408"/>
      <c r="Q42" s="408"/>
      <c r="R42" s="180"/>
      <c r="S42" s="408"/>
      <c r="T42" s="180"/>
      <c r="U42" s="180"/>
      <c r="V42" s="161"/>
      <c r="W42" s="408"/>
      <c r="X42" s="180"/>
      <c r="Y42" s="180"/>
      <c r="Z42" s="161"/>
      <c r="AA42" s="408"/>
      <c r="AB42" s="408"/>
      <c r="AC42" s="161"/>
      <c r="AD42" s="415"/>
      <c r="AE42" s="161"/>
    </row>
    <row r="43" spans="1:31" ht="15" customHeight="1">
      <c r="A43" s="159"/>
      <c r="B43" s="160" t="s">
        <v>139</v>
      </c>
      <c r="C43" s="402" t="s">
        <v>140</v>
      </c>
      <c r="D43" s="408"/>
      <c r="E43" s="180"/>
      <c r="F43" s="180"/>
      <c r="G43" s="161"/>
      <c r="H43" s="408"/>
      <c r="I43" s="408"/>
      <c r="J43" s="180"/>
      <c r="K43" s="415"/>
      <c r="L43" s="408"/>
      <c r="M43" s="180"/>
      <c r="N43" s="180"/>
      <c r="O43" s="161"/>
      <c r="P43" s="408"/>
      <c r="Q43" s="408"/>
      <c r="R43" s="180"/>
      <c r="S43" s="408"/>
      <c r="T43" s="180"/>
      <c r="U43" s="180"/>
      <c r="V43" s="161"/>
      <c r="W43" s="408"/>
      <c r="X43" s="180"/>
      <c r="Y43" s="180"/>
      <c r="Z43" s="161"/>
      <c r="AA43" s="408"/>
      <c r="AB43" s="408"/>
      <c r="AC43" s="161"/>
      <c r="AD43" s="415"/>
      <c r="AE43" s="161"/>
    </row>
    <row r="44" spans="1:31" ht="23.25" thickBot="1">
      <c r="A44" s="159"/>
      <c r="B44" s="160" t="s">
        <v>141</v>
      </c>
      <c r="C44" s="402" t="s">
        <v>142</v>
      </c>
      <c r="D44" s="408"/>
      <c r="E44" s="180"/>
      <c r="F44" s="180"/>
      <c r="G44" s="161"/>
      <c r="H44" s="408"/>
      <c r="I44" s="408"/>
      <c r="J44" s="180"/>
      <c r="K44" s="415"/>
      <c r="L44" s="408"/>
      <c r="M44" s="180"/>
      <c r="N44" s="180"/>
      <c r="O44" s="161"/>
      <c r="P44" s="408"/>
      <c r="Q44" s="408"/>
      <c r="R44" s="180"/>
      <c r="S44" s="408"/>
      <c r="T44" s="180"/>
      <c r="U44" s="180"/>
      <c r="V44" s="161"/>
      <c r="W44" s="408"/>
      <c r="X44" s="180"/>
      <c r="Y44" s="180"/>
      <c r="Z44" s="161"/>
      <c r="AA44" s="408"/>
      <c r="AB44" s="408"/>
      <c r="AC44" s="161"/>
      <c r="AD44" s="415"/>
      <c r="AE44" s="161"/>
    </row>
    <row r="45" spans="1:31" ht="15" customHeight="1" hidden="1" thickBot="1">
      <c r="A45" s="126" t="s">
        <v>9</v>
      </c>
      <c r="B45" s="156"/>
      <c r="C45" s="403" t="s">
        <v>143</v>
      </c>
      <c r="D45" s="394"/>
      <c r="E45" s="175"/>
      <c r="F45" s="175"/>
      <c r="G45" s="134"/>
      <c r="H45" s="394"/>
      <c r="I45" s="394"/>
      <c r="J45" s="175"/>
      <c r="K45" s="384"/>
      <c r="L45" s="394"/>
      <c r="M45" s="175"/>
      <c r="N45" s="175"/>
      <c r="O45" s="134"/>
      <c r="P45" s="394"/>
      <c r="Q45" s="394"/>
      <c r="R45" s="175"/>
      <c r="S45" s="394"/>
      <c r="T45" s="175"/>
      <c r="U45" s="175"/>
      <c r="V45" s="134"/>
      <c r="W45" s="394"/>
      <c r="X45" s="175"/>
      <c r="Y45" s="175"/>
      <c r="Z45" s="134"/>
      <c r="AA45" s="394"/>
      <c r="AB45" s="394"/>
      <c r="AC45" s="134"/>
      <c r="AD45" s="384"/>
      <c r="AE45" s="134"/>
    </row>
    <row r="46" spans="1:31" ht="14.25" customHeight="1" hidden="1" thickBot="1">
      <c r="A46" s="142" t="s">
        <v>10</v>
      </c>
      <c r="B46" s="143"/>
      <c r="C46" s="404" t="s">
        <v>144</v>
      </c>
      <c r="D46" s="394"/>
      <c r="E46" s="175"/>
      <c r="F46" s="175"/>
      <c r="G46" s="134"/>
      <c r="H46" s="394"/>
      <c r="I46" s="394"/>
      <c r="J46" s="175"/>
      <c r="K46" s="384"/>
      <c r="L46" s="394"/>
      <c r="M46" s="175"/>
      <c r="N46" s="175"/>
      <c r="O46" s="134"/>
      <c r="P46" s="394"/>
      <c r="Q46" s="394"/>
      <c r="R46" s="175"/>
      <c r="S46" s="394"/>
      <c r="T46" s="175"/>
      <c r="U46" s="175"/>
      <c r="V46" s="134"/>
      <c r="W46" s="394"/>
      <c r="X46" s="175"/>
      <c r="Y46" s="175"/>
      <c r="Z46" s="134"/>
      <c r="AA46" s="394"/>
      <c r="AB46" s="394"/>
      <c r="AC46" s="134"/>
      <c r="AD46" s="384"/>
      <c r="AE46" s="134"/>
    </row>
    <row r="47" spans="1:31" ht="13.5" thickBot="1">
      <c r="A47" s="126" t="s">
        <v>9</v>
      </c>
      <c r="B47" s="162"/>
      <c r="C47" s="405" t="s">
        <v>260</v>
      </c>
      <c r="D47" s="397">
        <f aca="true" t="shared" si="18" ref="D47:I47">D34+D40+D45+D46</f>
        <v>112243256</v>
      </c>
      <c r="E47" s="178">
        <f>E34+E40+E45+E46</f>
        <v>112243256</v>
      </c>
      <c r="F47" s="178">
        <f>F34+F40+F45+F46</f>
        <v>112243256</v>
      </c>
      <c r="G47" s="163">
        <f>G34+G40+G45+G46</f>
        <v>108256340</v>
      </c>
      <c r="H47" s="397">
        <f t="shared" si="18"/>
        <v>0</v>
      </c>
      <c r="I47" s="397">
        <f t="shared" si="18"/>
        <v>0</v>
      </c>
      <c r="J47" s="320" t="e">
        <f>I47/H47</f>
        <v>#DIV/0!</v>
      </c>
      <c r="K47" s="145">
        <f aca="true" t="shared" si="19" ref="K47:S47">K34+K40+K45+K46</f>
        <v>0</v>
      </c>
      <c r="L47" s="397">
        <f t="shared" si="19"/>
        <v>110804373</v>
      </c>
      <c r="M47" s="178">
        <f>M34+M40+M45+M46</f>
        <v>110804373</v>
      </c>
      <c r="N47" s="178">
        <f>N34+N40+N45+N46</f>
        <v>110804373</v>
      </c>
      <c r="O47" s="163">
        <f>O34+O40+O45+O46</f>
        <v>106701967</v>
      </c>
      <c r="P47" s="397">
        <f t="shared" si="19"/>
        <v>0</v>
      </c>
      <c r="Q47" s="397">
        <f t="shared" si="19"/>
        <v>0</v>
      </c>
      <c r="R47" s="397" t="e">
        <f t="shared" si="19"/>
        <v>#DIV/0!</v>
      </c>
      <c r="S47" s="397">
        <f t="shared" si="19"/>
        <v>1438883</v>
      </c>
      <c r="T47" s="178">
        <f>T34+T40+T45+T46</f>
        <v>1438883</v>
      </c>
      <c r="U47" s="178">
        <f>U34+U40+U45+U46</f>
        <v>1438883</v>
      </c>
      <c r="V47" s="163">
        <f>V34+V40+V45+V46</f>
        <v>1554373</v>
      </c>
      <c r="W47" s="397">
        <f aca="true" t="shared" si="20" ref="W47:AB47">W34+W40+W45+W46</f>
        <v>7923383</v>
      </c>
      <c r="X47" s="178">
        <f>X34+X40+X45+X46</f>
        <v>7923383</v>
      </c>
      <c r="Y47" s="178">
        <f>Y34+Y40+Y45+Y46</f>
        <v>7923383</v>
      </c>
      <c r="Z47" s="163">
        <f>Z34+Z40+Z45+Z46</f>
        <v>7923383</v>
      </c>
      <c r="AA47" s="397">
        <f t="shared" si="20"/>
        <v>5610894</v>
      </c>
      <c r="AB47" s="397">
        <f t="shared" si="20"/>
        <v>0</v>
      </c>
      <c r="AC47" s="320">
        <f>AB47/AA47</f>
        <v>0</v>
      </c>
      <c r="AD47" s="416">
        <f>AC47/AA47</f>
        <v>0</v>
      </c>
      <c r="AE47" s="163">
        <f>AE34+AE40+AE45+AE46</f>
        <v>0</v>
      </c>
    </row>
    <row r="48" spans="1:31" ht="13.5" thickBot="1">
      <c r="A48" s="164"/>
      <c r="B48" s="165"/>
      <c r="C48" s="165"/>
      <c r="D48" s="417"/>
      <c r="E48" s="418"/>
      <c r="F48" s="418"/>
      <c r="G48" s="1258"/>
      <c r="H48" s="417"/>
      <c r="I48" s="417"/>
      <c r="J48" s="418"/>
      <c r="K48" s="675"/>
      <c r="L48" s="417"/>
      <c r="M48" s="418"/>
      <c r="N48" s="418"/>
      <c r="O48" s="1258"/>
      <c r="P48" s="417"/>
      <c r="Q48" s="417"/>
      <c r="R48" s="418"/>
      <c r="S48" s="417"/>
      <c r="T48" s="418"/>
      <c r="U48" s="418"/>
      <c r="V48" s="1258"/>
      <c r="W48" s="417"/>
      <c r="X48" s="418"/>
      <c r="Y48" s="418"/>
      <c r="Z48" s="1258"/>
      <c r="AA48" s="417"/>
      <c r="AB48" s="417"/>
      <c r="AC48" s="419"/>
      <c r="AE48" s="419"/>
    </row>
    <row r="49" spans="1:31" ht="13.5" thickBot="1">
      <c r="A49" s="166" t="s">
        <v>146</v>
      </c>
      <c r="B49" s="167"/>
      <c r="C49" s="406"/>
      <c r="D49" s="420">
        <v>17</v>
      </c>
      <c r="E49" s="183">
        <v>17</v>
      </c>
      <c r="F49" s="183">
        <v>17</v>
      </c>
      <c r="G49" s="409">
        <v>17</v>
      </c>
      <c r="H49" s="420">
        <v>18</v>
      </c>
      <c r="I49" s="420">
        <v>17</v>
      </c>
      <c r="J49" s="320"/>
      <c r="K49" s="182"/>
      <c r="L49" s="420">
        <v>17</v>
      </c>
      <c r="M49" s="183">
        <v>17</v>
      </c>
      <c r="N49" s="183">
        <v>17</v>
      </c>
      <c r="O49" s="409">
        <v>17</v>
      </c>
      <c r="P49" s="420">
        <v>18</v>
      </c>
      <c r="Q49" s="420">
        <v>17</v>
      </c>
      <c r="R49" s="320"/>
      <c r="S49" s="420">
        <v>0</v>
      </c>
      <c r="T49" s="183">
        <v>0</v>
      </c>
      <c r="U49" s="183">
        <v>0</v>
      </c>
      <c r="V49" s="409">
        <v>0</v>
      </c>
      <c r="W49" s="420">
        <v>0</v>
      </c>
      <c r="X49" s="183">
        <v>0</v>
      </c>
      <c r="Y49" s="183">
        <v>0</v>
      </c>
      <c r="Z49" s="409">
        <v>0</v>
      </c>
      <c r="AA49" s="420">
        <v>2</v>
      </c>
      <c r="AB49" s="420">
        <v>0</v>
      </c>
      <c r="AC49" s="320">
        <f>AB49/AA49</f>
        <v>0</v>
      </c>
      <c r="AD49" s="182"/>
      <c r="AE49" s="409"/>
    </row>
    <row r="50" spans="1:31" ht="13.5" thickBot="1">
      <c r="A50" s="166" t="s">
        <v>147</v>
      </c>
      <c r="B50" s="167"/>
      <c r="C50" s="406"/>
      <c r="D50" s="420">
        <v>0</v>
      </c>
      <c r="E50" s="183">
        <v>0</v>
      </c>
      <c r="F50" s="183">
        <v>0</v>
      </c>
      <c r="G50" s="409">
        <v>0</v>
      </c>
      <c r="H50" s="420">
        <v>0</v>
      </c>
      <c r="I50" s="420">
        <v>0</v>
      </c>
      <c r="J50" s="320"/>
      <c r="K50" s="182"/>
      <c r="L50" s="420">
        <v>0</v>
      </c>
      <c r="M50" s="183">
        <v>0</v>
      </c>
      <c r="N50" s="183">
        <v>0</v>
      </c>
      <c r="O50" s="409">
        <v>0</v>
      </c>
      <c r="P50" s="420">
        <v>0</v>
      </c>
      <c r="Q50" s="420">
        <v>0</v>
      </c>
      <c r="R50" s="320"/>
      <c r="S50" s="420">
        <v>0</v>
      </c>
      <c r="T50" s="183">
        <v>0</v>
      </c>
      <c r="U50" s="183">
        <v>0</v>
      </c>
      <c r="V50" s="409">
        <v>0</v>
      </c>
      <c r="W50" s="420">
        <v>0</v>
      </c>
      <c r="X50" s="183">
        <v>0</v>
      </c>
      <c r="Y50" s="183">
        <v>0</v>
      </c>
      <c r="Z50" s="409">
        <v>0</v>
      </c>
      <c r="AA50" s="420">
        <v>0</v>
      </c>
      <c r="AB50" s="420">
        <v>0</v>
      </c>
      <c r="AC50" s="409"/>
      <c r="AD50" s="182"/>
      <c r="AE50" s="409"/>
    </row>
    <row r="51" spans="6:22" ht="7.5" customHeight="1">
      <c r="F51" s="184"/>
      <c r="G51" s="184"/>
      <c r="H51" s="184"/>
      <c r="I51" s="184"/>
      <c r="J51" s="184"/>
      <c r="K51" s="184"/>
      <c r="N51" s="184"/>
      <c r="O51" s="184"/>
      <c r="P51" s="184"/>
      <c r="Q51" s="184"/>
      <c r="R51" s="184"/>
      <c r="S51" s="184"/>
      <c r="T51" s="184"/>
      <c r="U51" s="184"/>
      <c r="V51" s="184"/>
    </row>
    <row r="52" spans="1:22" ht="12.75" hidden="1">
      <c r="A52" s="1385" t="s">
        <v>205</v>
      </c>
      <c r="B52" s="1385"/>
      <c r="C52" s="1385"/>
      <c r="F52" s="184"/>
      <c r="J52" s="110">
        <v>100213</v>
      </c>
      <c r="N52" s="184"/>
      <c r="O52" s="184"/>
      <c r="P52" s="184"/>
      <c r="Q52" s="184"/>
      <c r="R52" s="184"/>
      <c r="S52" s="184"/>
      <c r="T52" s="184"/>
      <c r="U52" s="184"/>
      <c r="V52" s="184"/>
    </row>
    <row r="53" spans="4:11" ht="12.75">
      <c r="D53" s="184">
        <v>0</v>
      </c>
      <c r="E53" s="184"/>
      <c r="F53" s="184"/>
      <c r="G53" s="184"/>
      <c r="H53" s="184"/>
      <c r="I53" s="184"/>
      <c r="J53" s="184"/>
      <c r="K53" s="184"/>
    </row>
  </sheetData>
  <sheetProtection/>
  <mergeCells count="9">
    <mergeCell ref="C1:AA1"/>
    <mergeCell ref="A5:B5"/>
    <mergeCell ref="A3:W3"/>
    <mergeCell ref="A52:C52"/>
    <mergeCell ref="D5:K5"/>
    <mergeCell ref="L5:R5"/>
    <mergeCell ref="W5:AD5"/>
    <mergeCell ref="S5:V5"/>
    <mergeCell ref="S2:Z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C1">
      <selection activeCell="A3" sqref="A3:S3"/>
    </sheetView>
  </sheetViews>
  <sheetFormatPr defaultColWidth="9.140625" defaultRowHeight="12.75"/>
  <cols>
    <col min="1" max="1" width="8.28125" style="262" customWidth="1"/>
    <col min="2" max="2" width="8.28125" style="256" customWidth="1"/>
    <col min="3" max="3" width="52.00390625" style="256" customWidth="1"/>
    <col min="4" max="4" width="13.28125" style="256" customWidth="1"/>
    <col min="5" max="5" width="11.28125" style="256" customWidth="1"/>
    <col min="6" max="6" width="11.00390625" style="256" customWidth="1"/>
    <col min="7" max="7" width="12.140625" style="256" customWidth="1"/>
    <col min="8" max="8" width="12.28125" style="256" hidden="1" customWidth="1"/>
    <col min="9" max="9" width="13.00390625" style="256" hidden="1" customWidth="1"/>
    <col min="10" max="10" width="9.8515625" style="256" hidden="1" customWidth="1"/>
    <col min="11" max="11" width="9.7109375" style="256" hidden="1" customWidth="1"/>
    <col min="12" max="12" width="13.7109375" style="256" customWidth="1"/>
    <col min="13" max="13" width="11.28125" style="256" customWidth="1"/>
    <col min="14" max="14" width="14.00390625" style="256" customWidth="1"/>
    <col min="15" max="15" width="11.28125" style="256" customWidth="1"/>
    <col min="16" max="16" width="12.28125" style="256" hidden="1" customWidth="1"/>
    <col min="17" max="17" width="13.00390625" style="256" hidden="1" customWidth="1"/>
    <col min="18" max="18" width="8.421875" style="256" hidden="1" customWidth="1"/>
    <col min="19" max="19" width="13.57421875" style="256" bestFit="1" customWidth="1"/>
    <col min="20" max="20" width="6.28125" style="256" customWidth="1"/>
    <col min="21" max="21" width="7.140625" style="256" customWidth="1"/>
    <col min="22" max="22" width="8.57421875" style="256" customWidth="1"/>
    <col min="23" max="23" width="13.28125" style="256" hidden="1" customWidth="1"/>
    <col min="24" max="16384" width="9.140625" style="256" customWidth="1"/>
  </cols>
  <sheetData>
    <row r="1" spans="1:22" s="102" customFormat="1" ht="21" customHeight="1">
      <c r="A1" s="98"/>
      <c r="B1" s="99"/>
      <c r="C1" s="100"/>
      <c r="D1" s="101"/>
      <c r="E1" s="101"/>
      <c r="F1" s="101"/>
      <c r="G1" s="101"/>
      <c r="H1" s="101"/>
      <c r="I1" s="101"/>
      <c r="J1" s="101"/>
      <c r="K1" s="101"/>
      <c r="L1" s="1381" t="s">
        <v>540</v>
      </c>
      <c r="M1" s="1381"/>
      <c r="N1" s="1381"/>
      <c r="O1" s="1381"/>
      <c r="P1" s="1381"/>
      <c r="Q1" s="1381"/>
      <c r="R1" s="1381"/>
      <c r="S1" s="1381"/>
      <c r="T1" s="1381"/>
      <c r="U1" s="1381"/>
      <c r="V1" s="1381"/>
    </row>
    <row r="2" spans="1:22" s="102" customFormat="1" ht="21" customHeight="1">
      <c r="A2" s="204"/>
      <c r="B2" s="99"/>
      <c r="C2" s="104"/>
      <c r="D2" s="103"/>
      <c r="E2" s="103"/>
      <c r="F2" s="103"/>
      <c r="G2" s="103"/>
      <c r="H2" s="103"/>
      <c r="I2" s="103"/>
      <c r="J2" s="103"/>
      <c r="K2" s="103"/>
      <c r="L2" s="1389" t="s">
        <v>646</v>
      </c>
      <c r="M2" s="1389"/>
      <c r="N2" s="1389"/>
      <c r="O2" s="1389"/>
      <c r="P2" s="1389"/>
      <c r="Q2" s="1389"/>
      <c r="R2" s="1389"/>
      <c r="S2" s="1389"/>
      <c r="T2" s="1389"/>
      <c r="U2" s="1389"/>
      <c r="V2" s="1389"/>
    </row>
    <row r="3" spans="1:19" s="105" customFormat="1" ht="25.5" customHeight="1">
      <c r="A3" s="1384" t="s">
        <v>207</v>
      </c>
      <c r="B3" s="1384"/>
      <c r="C3" s="1384"/>
      <c r="D3" s="1384"/>
      <c r="E3" s="1384"/>
      <c r="F3" s="1384"/>
      <c r="G3" s="1384"/>
      <c r="H3" s="1384"/>
      <c r="I3" s="1384"/>
      <c r="J3" s="1384"/>
      <c r="K3" s="1384"/>
      <c r="L3" s="1384"/>
      <c r="M3" s="1384"/>
      <c r="N3" s="1384"/>
      <c r="O3" s="1384"/>
      <c r="P3" s="1384"/>
      <c r="Q3" s="1384"/>
      <c r="R3" s="1384"/>
      <c r="S3" s="1384"/>
    </row>
    <row r="4" spans="1:19" s="108" customFormat="1" ht="15.75" customHeight="1" thickBot="1">
      <c r="A4" s="106"/>
      <c r="B4" s="106"/>
      <c r="C4" s="106"/>
      <c r="S4" s="107" t="s">
        <v>423</v>
      </c>
    </row>
    <row r="5" spans="1:23" s="108" customFormat="1" ht="41.25" customHeight="1" thickBot="1">
      <c r="A5" s="106"/>
      <c r="B5" s="106"/>
      <c r="C5" s="106"/>
      <c r="D5" s="1390" t="s">
        <v>4</v>
      </c>
      <c r="E5" s="1391"/>
      <c r="F5" s="1391"/>
      <c r="G5" s="1391"/>
      <c r="H5" s="1391"/>
      <c r="I5" s="1391"/>
      <c r="J5" s="1391"/>
      <c r="K5" s="1392"/>
      <c r="L5" s="1390" t="s">
        <v>102</v>
      </c>
      <c r="M5" s="1391"/>
      <c r="N5" s="1391"/>
      <c r="O5" s="1391"/>
      <c r="P5" s="1391"/>
      <c r="Q5" s="1391"/>
      <c r="R5" s="1392"/>
      <c r="S5" s="1390" t="s">
        <v>149</v>
      </c>
      <c r="T5" s="1391"/>
      <c r="U5" s="1391"/>
      <c r="V5" s="1391"/>
      <c r="W5" s="1392"/>
    </row>
    <row r="6" spans="1:23" ht="13.5" thickBot="1">
      <c r="A6" s="1382" t="s">
        <v>103</v>
      </c>
      <c r="B6" s="1383"/>
      <c r="C6" s="421" t="s">
        <v>104</v>
      </c>
      <c r="D6" s="411" t="s">
        <v>62</v>
      </c>
      <c r="E6" s="109" t="s">
        <v>215</v>
      </c>
      <c r="F6" s="109" t="s">
        <v>218</v>
      </c>
      <c r="G6" s="109" t="s">
        <v>220</v>
      </c>
      <c r="H6" s="109" t="s">
        <v>232</v>
      </c>
      <c r="I6" s="109" t="s">
        <v>237</v>
      </c>
      <c r="J6" s="109" t="s">
        <v>224</v>
      </c>
      <c r="K6" s="382" t="s">
        <v>236</v>
      </c>
      <c r="L6" s="411" t="s">
        <v>62</v>
      </c>
      <c r="M6" s="109" t="s">
        <v>215</v>
      </c>
      <c r="N6" s="109" t="s">
        <v>218</v>
      </c>
      <c r="O6" s="109" t="s">
        <v>220</v>
      </c>
      <c r="P6" s="109" t="s">
        <v>232</v>
      </c>
      <c r="Q6" s="109" t="s">
        <v>237</v>
      </c>
      <c r="R6" s="382" t="s">
        <v>224</v>
      </c>
      <c r="S6" s="411" t="s">
        <v>62</v>
      </c>
      <c r="T6" s="109" t="s">
        <v>215</v>
      </c>
      <c r="U6" s="109" t="s">
        <v>218</v>
      </c>
      <c r="V6" s="109" t="s">
        <v>220</v>
      </c>
      <c r="W6" s="382" t="s">
        <v>237</v>
      </c>
    </row>
    <row r="7" spans="1:23" s="114" customFormat="1" ht="12.75" customHeight="1" thickBot="1">
      <c r="A7" s="111">
        <v>1</v>
      </c>
      <c r="B7" s="112">
        <v>2</v>
      </c>
      <c r="C7" s="247">
        <v>3</v>
      </c>
      <c r="D7" s="111">
        <v>4</v>
      </c>
      <c r="E7" s="112">
        <v>5</v>
      </c>
      <c r="F7" s="112">
        <v>6</v>
      </c>
      <c r="G7" s="112">
        <v>7</v>
      </c>
      <c r="H7" s="112">
        <v>8</v>
      </c>
      <c r="I7" s="112">
        <v>5</v>
      </c>
      <c r="J7" s="112">
        <v>9</v>
      </c>
      <c r="K7" s="113">
        <v>9</v>
      </c>
      <c r="L7" s="111">
        <v>8</v>
      </c>
      <c r="M7" s="112">
        <v>9</v>
      </c>
      <c r="N7" s="112">
        <v>10</v>
      </c>
      <c r="O7" s="112">
        <v>11</v>
      </c>
      <c r="P7" s="112">
        <v>13</v>
      </c>
      <c r="Q7" s="112">
        <v>7</v>
      </c>
      <c r="R7" s="113">
        <v>15</v>
      </c>
      <c r="S7" s="111">
        <v>12</v>
      </c>
      <c r="T7" s="112">
        <v>13</v>
      </c>
      <c r="U7" s="112">
        <v>14</v>
      </c>
      <c r="V7" s="112">
        <v>15</v>
      </c>
      <c r="W7" s="113">
        <v>9</v>
      </c>
    </row>
    <row r="8" spans="1:23" s="114" customFormat="1" ht="15.75" customHeight="1" thickBot="1">
      <c r="A8" s="115"/>
      <c r="B8" s="116"/>
      <c r="C8" s="116" t="s">
        <v>105</v>
      </c>
      <c r="D8" s="388"/>
      <c r="E8" s="170"/>
      <c r="F8" s="431"/>
      <c r="G8" s="431"/>
      <c r="H8" s="431"/>
      <c r="I8" s="431"/>
      <c r="J8" s="431"/>
      <c r="K8" s="682"/>
      <c r="L8" s="388"/>
      <c r="M8" s="170"/>
      <c r="N8" s="227"/>
      <c r="O8" s="227"/>
      <c r="P8" s="227"/>
      <c r="Q8" s="227"/>
      <c r="R8" s="228"/>
      <c r="S8" s="433"/>
      <c r="T8" s="227"/>
      <c r="U8" s="227"/>
      <c r="V8" s="227"/>
      <c r="W8" s="228"/>
    </row>
    <row r="9" spans="1:23" s="119" customFormat="1" ht="12" customHeight="1" thickBot="1">
      <c r="A9" s="111" t="s">
        <v>26</v>
      </c>
      <c r="B9" s="117"/>
      <c r="C9" s="422" t="s">
        <v>320</v>
      </c>
      <c r="D9" s="389">
        <f aca="true" t="shared" si="0" ref="D9:I9">SUM(D10:D17)</f>
        <v>34373894</v>
      </c>
      <c r="E9" s="171">
        <f>SUM(E10:E17)</f>
        <v>34373994</v>
      </c>
      <c r="F9" s="171">
        <f>SUM(F10:F17)</f>
        <v>34376169</v>
      </c>
      <c r="G9" s="171">
        <f>SUM(G10:G17)</f>
        <v>32058255</v>
      </c>
      <c r="H9" s="171">
        <f t="shared" si="0"/>
        <v>0</v>
      </c>
      <c r="I9" s="171">
        <f t="shared" si="0"/>
        <v>0</v>
      </c>
      <c r="J9" s="1247"/>
      <c r="K9" s="118"/>
      <c r="L9" s="389">
        <f aca="true" t="shared" si="1" ref="L9:Q9">SUM(L10:L17)</f>
        <v>34373894</v>
      </c>
      <c r="M9" s="171">
        <f t="shared" si="1"/>
        <v>34373994</v>
      </c>
      <c r="N9" s="171">
        <f>SUM(N10:N17)</f>
        <v>34376169</v>
      </c>
      <c r="O9" s="171">
        <f>SUM(O10:O17)</f>
        <v>32058255</v>
      </c>
      <c r="P9" s="171">
        <f t="shared" si="1"/>
        <v>0</v>
      </c>
      <c r="Q9" s="171">
        <f t="shared" si="1"/>
        <v>0</v>
      </c>
      <c r="R9" s="320" t="e">
        <f>Q9/P9</f>
        <v>#DIV/0!</v>
      </c>
      <c r="S9" s="389"/>
      <c r="T9" s="171"/>
      <c r="U9" s="171"/>
      <c r="V9" s="171"/>
      <c r="W9" s="118"/>
    </row>
    <row r="10" spans="1:23" s="119" customFormat="1" ht="12" customHeight="1">
      <c r="A10" s="120"/>
      <c r="B10" s="129" t="s">
        <v>34</v>
      </c>
      <c r="C10" s="801" t="s">
        <v>438</v>
      </c>
      <c r="D10" s="804">
        <v>18123280</v>
      </c>
      <c r="E10" s="780">
        <v>18123280</v>
      </c>
      <c r="F10" s="780">
        <v>18123280</v>
      </c>
      <c r="G10" s="780">
        <v>18045188</v>
      </c>
      <c r="H10" s="780"/>
      <c r="I10" s="780"/>
      <c r="J10" s="1242"/>
      <c r="K10" s="782"/>
      <c r="L10" s="804">
        <v>18123280</v>
      </c>
      <c r="M10" s="780">
        <v>18123280</v>
      </c>
      <c r="N10" s="780">
        <v>18123280</v>
      </c>
      <c r="O10" s="780">
        <v>18045188</v>
      </c>
      <c r="P10" s="780"/>
      <c r="Q10" s="780"/>
      <c r="R10" s="781"/>
      <c r="S10" s="783"/>
      <c r="T10" s="779"/>
      <c r="U10" s="779"/>
      <c r="V10" s="779"/>
      <c r="W10" s="782"/>
    </row>
    <row r="11" spans="1:23" s="119" customFormat="1" ht="12" customHeight="1">
      <c r="A11" s="122"/>
      <c r="B11" s="121" t="s">
        <v>35</v>
      </c>
      <c r="C11" s="802" t="s">
        <v>318</v>
      </c>
      <c r="D11" s="805">
        <v>3332000</v>
      </c>
      <c r="E11" s="785">
        <v>3332000</v>
      </c>
      <c r="F11" s="785">
        <v>3332000</v>
      </c>
      <c r="G11" s="785">
        <v>2442025</v>
      </c>
      <c r="H11" s="785"/>
      <c r="I11" s="785"/>
      <c r="J11" s="1263"/>
      <c r="K11" s="787"/>
      <c r="L11" s="805">
        <v>3332000</v>
      </c>
      <c r="M11" s="785">
        <v>3332000</v>
      </c>
      <c r="N11" s="785">
        <v>3332000</v>
      </c>
      <c r="O11" s="785">
        <v>2442025</v>
      </c>
      <c r="P11" s="785"/>
      <c r="Q11" s="785"/>
      <c r="R11" s="786"/>
      <c r="S11" s="788"/>
      <c r="T11" s="784"/>
      <c r="U11" s="784"/>
      <c r="V11" s="784"/>
      <c r="W11" s="787"/>
    </row>
    <row r="12" spans="1:23" s="119" customFormat="1" ht="12" customHeight="1">
      <c r="A12" s="122"/>
      <c r="B12" s="121" t="s">
        <v>36</v>
      </c>
      <c r="C12" s="802" t="s">
        <v>440</v>
      </c>
      <c r="D12" s="805"/>
      <c r="E12" s="785"/>
      <c r="F12" s="785"/>
      <c r="G12" s="785"/>
      <c r="H12" s="785"/>
      <c r="I12" s="785"/>
      <c r="J12" s="1263"/>
      <c r="K12" s="787"/>
      <c r="L12" s="805"/>
      <c r="M12" s="785"/>
      <c r="N12" s="785"/>
      <c r="O12" s="785"/>
      <c r="P12" s="785"/>
      <c r="Q12" s="785"/>
      <c r="R12" s="786"/>
      <c r="S12" s="788"/>
      <c r="T12" s="784"/>
      <c r="U12" s="784"/>
      <c r="V12" s="784"/>
      <c r="W12" s="787"/>
    </row>
    <row r="13" spans="1:23" s="119" customFormat="1" ht="12" customHeight="1">
      <c r="A13" s="122"/>
      <c r="B13" s="121" t="s">
        <v>47</v>
      </c>
      <c r="C13" s="802" t="s">
        <v>441</v>
      </c>
      <c r="D13" s="805">
        <v>6433487</v>
      </c>
      <c r="E13" s="785">
        <v>6433487</v>
      </c>
      <c r="F13" s="785">
        <v>6433487</v>
      </c>
      <c r="G13" s="785">
        <v>5135080</v>
      </c>
      <c r="H13" s="785"/>
      <c r="I13" s="785"/>
      <c r="J13" s="1263"/>
      <c r="K13" s="787"/>
      <c r="L13" s="805">
        <v>6433487</v>
      </c>
      <c r="M13" s="785">
        <v>6433487</v>
      </c>
      <c r="N13" s="785">
        <v>6433487</v>
      </c>
      <c r="O13" s="785">
        <v>5135080</v>
      </c>
      <c r="P13" s="785"/>
      <c r="Q13" s="785"/>
      <c r="R13" s="786"/>
      <c r="S13" s="788"/>
      <c r="T13" s="784"/>
      <c r="U13" s="784"/>
      <c r="V13" s="784"/>
      <c r="W13" s="787"/>
    </row>
    <row r="14" spans="1:23" s="119" customFormat="1" ht="12" customHeight="1">
      <c r="A14" s="122"/>
      <c r="B14" s="121" t="s">
        <v>48</v>
      </c>
      <c r="C14" s="803" t="s">
        <v>442</v>
      </c>
      <c r="D14" s="806">
        <v>6485127</v>
      </c>
      <c r="E14" s="792">
        <v>6485127</v>
      </c>
      <c r="F14" s="792">
        <v>6485127</v>
      </c>
      <c r="G14" s="792">
        <v>6433687</v>
      </c>
      <c r="H14" s="792"/>
      <c r="I14" s="792"/>
      <c r="J14" s="1245"/>
      <c r="K14" s="794"/>
      <c r="L14" s="806">
        <v>6485127</v>
      </c>
      <c r="M14" s="792">
        <v>6485127</v>
      </c>
      <c r="N14" s="792">
        <v>6485127</v>
      </c>
      <c r="O14" s="792">
        <v>6433687</v>
      </c>
      <c r="P14" s="792"/>
      <c r="Q14" s="792"/>
      <c r="R14" s="793"/>
      <c r="S14" s="795"/>
      <c r="T14" s="791"/>
      <c r="U14" s="791"/>
      <c r="V14" s="791"/>
      <c r="W14" s="794"/>
    </row>
    <row r="15" spans="1:23" s="119" customFormat="1" ht="12" customHeight="1">
      <c r="A15" s="122"/>
      <c r="B15" s="121" t="s">
        <v>443</v>
      </c>
      <c r="C15" s="803" t="s">
        <v>295</v>
      </c>
      <c r="D15" s="795"/>
      <c r="E15" s="792">
        <v>100</v>
      </c>
      <c r="F15" s="792">
        <v>100</v>
      </c>
      <c r="G15" s="792">
        <v>100</v>
      </c>
      <c r="H15" s="792"/>
      <c r="I15" s="792"/>
      <c r="J15" s="1264"/>
      <c r="K15" s="1256"/>
      <c r="L15" s="806"/>
      <c r="M15" s="792">
        <v>100</v>
      </c>
      <c r="N15" s="792">
        <v>100</v>
      </c>
      <c r="O15" s="792">
        <v>100</v>
      </c>
      <c r="P15" s="792"/>
      <c r="Q15" s="792"/>
      <c r="R15" s="793"/>
      <c r="S15" s="795"/>
      <c r="T15" s="791"/>
      <c r="U15" s="791"/>
      <c r="V15" s="791"/>
      <c r="W15" s="794"/>
    </row>
    <row r="16" spans="1:23" s="119" customFormat="1" ht="12" customHeight="1">
      <c r="A16" s="122"/>
      <c r="B16" s="121" t="s">
        <v>444</v>
      </c>
      <c r="C16" s="790" t="s">
        <v>439</v>
      </c>
      <c r="D16" s="795"/>
      <c r="E16" s="792"/>
      <c r="F16" s="792">
        <v>2175</v>
      </c>
      <c r="G16" s="792">
        <v>2175</v>
      </c>
      <c r="H16" s="792"/>
      <c r="I16" s="792"/>
      <c r="J16" s="1264"/>
      <c r="K16" s="1256"/>
      <c r="L16" s="806"/>
      <c r="M16" s="792"/>
      <c r="N16" s="792">
        <v>2175</v>
      </c>
      <c r="O16" s="792">
        <v>2175</v>
      </c>
      <c r="P16" s="792"/>
      <c r="Q16" s="792"/>
      <c r="R16" s="793"/>
      <c r="S16" s="795"/>
      <c r="T16" s="791"/>
      <c r="U16" s="791"/>
      <c r="V16" s="791"/>
      <c r="W16" s="794"/>
    </row>
    <row r="17" spans="1:23" s="119" customFormat="1" ht="12" customHeight="1" thickBot="1">
      <c r="A17" s="807"/>
      <c r="B17" s="808"/>
      <c r="C17" s="796"/>
      <c r="D17" s="797"/>
      <c r="E17" s="799"/>
      <c r="F17" s="799"/>
      <c r="G17" s="799"/>
      <c r="H17" s="1262"/>
      <c r="I17" s="1262"/>
      <c r="J17" s="1265"/>
      <c r="K17" s="1266"/>
      <c r="L17" s="797"/>
      <c r="M17" s="799"/>
      <c r="N17" s="799"/>
      <c r="O17" s="799"/>
      <c r="P17" s="1262"/>
      <c r="Q17" s="1262"/>
      <c r="R17" s="798"/>
      <c r="S17" s="797"/>
      <c r="T17" s="799"/>
      <c r="U17" s="799"/>
      <c r="V17" s="799"/>
      <c r="W17" s="800"/>
    </row>
    <row r="18" spans="1:23" s="119" customFormat="1" ht="12" customHeight="1" thickBot="1">
      <c r="A18" s="111" t="s">
        <v>27</v>
      </c>
      <c r="B18" s="117"/>
      <c r="C18" s="422" t="s">
        <v>112</v>
      </c>
      <c r="D18" s="389">
        <f aca="true" t="shared" si="2" ref="D18:I18">D19+D21</f>
        <v>0</v>
      </c>
      <c r="E18" s="171">
        <f>E19+E21</f>
        <v>0</v>
      </c>
      <c r="F18" s="171">
        <f>F19+F21</f>
        <v>0</v>
      </c>
      <c r="G18" s="171">
        <f>G19+G21</f>
        <v>0</v>
      </c>
      <c r="H18" s="171">
        <f t="shared" si="2"/>
        <v>0</v>
      </c>
      <c r="I18" s="171">
        <f t="shared" si="2"/>
        <v>0</v>
      </c>
      <c r="J18" s="1247"/>
      <c r="K18" s="118">
        <f aca="true" t="shared" si="3" ref="K18:Q18">K19+K21</f>
        <v>0</v>
      </c>
      <c r="L18" s="389">
        <f t="shared" si="3"/>
        <v>0</v>
      </c>
      <c r="M18" s="171">
        <f t="shared" si="3"/>
        <v>0</v>
      </c>
      <c r="N18" s="171">
        <f>N19+N21</f>
        <v>0</v>
      </c>
      <c r="O18" s="171">
        <f>O19+O21</f>
        <v>0</v>
      </c>
      <c r="P18" s="171">
        <f t="shared" si="3"/>
        <v>0</v>
      </c>
      <c r="Q18" s="171">
        <f t="shared" si="3"/>
        <v>0</v>
      </c>
      <c r="R18" s="320"/>
      <c r="S18" s="389"/>
      <c r="T18" s="171"/>
      <c r="U18" s="171"/>
      <c r="V18" s="171"/>
      <c r="W18" s="118"/>
    </row>
    <row r="19" spans="1:23" s="124" customFormat="1" ht="12" customHeight="1">
      <c r="A19" s="122"/>
      <c r="B19" s="121" t="s">
        <v>37</v>
      </c>
      <c r="C19" s="401" t="s">
        <v>69</v>
      </c>
      <c r="D19" s="391"/>
      <c r="E19" s="172"/>
      <c r="F19" s="172"/>
      <c r="G19" s="172"/>
      <c r="H19" s="172"/>
      <c r="I19" s="172"/>
      <c r="J19" s="1248"/>
      <c r="K19" s="123"/>
      <c r="L19" s="391"/>
      <c r="M19" s="172"/>
      <c r="N19" s="172"/>
      <c r="O19" s="172"/>
      <c r="P19" s="172"/>
      <c r="Q19" s="172"/>
      <c r="R19" s="645"/>
      <c r="S19" s="391"/>
      <c r="T19" s="172"/>
      <c r="U19" s="172"/>
      <c r="V19" s="172"/>
      <c r="W19" s="123"/>
    </row>
    <row r="20" spans="1:23" s="124" customFormat="1" ht="12" customHeight="1">
      <c r="A20" s="122"/>
      <c r="B20" s="121" t="s">
        <v>38</v>
      </c>
      <c r="C20" s="402" t="s">
        <v>115</v>
      </c>
      <c r="D20" s="391"/>
      <c r="E20" s="172"/>
      <c r="F20" s="172"/>
      <c r="G20" s="172"/>
      <c r="H20" s="172"/>
      <c r="I20" s="172"/>
      <c r="J20" s="1248"/>
      <c r="K20" s="123"/>
      <c r="L20" s="391"/>
      <c r="M20" s="172"/>
      <c r="N20" s="172"/>
      <c r="O20" s="172"/>
      <c r="P20" s="172"/>
      <c r="Q20" s="172"/>
      <c r="R20" s="645"/>
      <c r="S20" s="391"/>
      <c r="T20" s="172"/>
      <c r="U20" s="172"/>
      <c r="V20" s="172"/>
      <c r="W20" s="123"/>
    </row>
    <row r="21" spans="1:23" s="124" customFormat="1" ht="12" customHeight="1">
      <c r="A21" s="122"/>
      <c r="B21" s="121" t="s">
        <v>39</v>
      </c>
      <c r="C21" s="402" t="s">
        <v>70</v>
      </c>
      <c r="D21" s="391"/>
      <c r="E21" s="172"/>
      <c r="F21" s="172"/>
      <c r="G21" s="172"/>
      <c r="H21" s="172"/>
      <c r="I21" s="172"/>
      <c r="J21" s="1248"/>
      <c r="K21" s="123"/>
      <c r="L21" s="391"/>
      <c r="M21" s="172"/>
      <c r="N21" s="172"/>
      <c r="O21" s="172"/>
      <c r="P21" s="172"/>
      <c r="Q21" s="172"/>
      <c r="R21" s="645"/>
      <c r="S21" s="391"/>
      <c r="T21" s="172"/>
      <c r="U21" s="172"/>
      <c r="V21" s="172"/>
      <c r="W21" s="123"/>
    </row>
    <row r="22" spans="1:23" s="124" customFormat="1" ht="12" customHeight="1" thickBot="1">
      <c r="A22" s="122"/>
      <c r="B22" s="121" t="s">
        <v>256</v>
      </c>
      <c r="C22" s="402" t="s">
        <v>115</v>
      </c>
      <c r="D22" s="391"/>
      <c r="E22" s="172"/>
      <c r="F22" s="172"/>
      <c r="G22" s="172"/>
      <c r="H22" s="172"/>
      <c r="I22" s="172"/>
      <c r="J22" s="1248"/>
      <c r="K22" s="123"/>
      <c r="L22" s="391"/>
      <c r="M22" s="172"/>
      <c r="N22" s="172"/>
      <c r="O22" s="172"/>
      <c r="P22" s="172"/>
      <c r="Q22" s="172"/>
      <c r="R22" s="645"/>
      <c r="S22" s="391"/>
      <c r="T22" s="172"/>
      <c r="U22" s="172"/>
      <c r="V22" s="172"/>
      <c r="W22" s="123"/>
    </row>
    <row r="23" spans="1:23" s="124" customFormat="1" ht="12" customHeight="1" thickBot="1">
      <c r="A23" s="126" t="s">
        <v>9</v>
      </c>
      <c r="B23" s="127"/>
      <c r="C23" s="400" t="s">
        <v>118</v>
      </c>
      <c r="D23" s="389">
        <f aca="true" t="shared" si="4" ref="D23:I23">SUM(D24:D25)</f>
        <v>0</v>
      </c>
      <c r="E23" s="171">
        <f>SUM(E24:E25)</f>
        <v>0</v>
      </c>
      <c r="F23" s="171">
        <f>SUM(F24:F25)</f>
        <v>0</v>
      </c>
      <c r="G23" s="171">
        <f>SUM(G24:G25)</f>
        <v>0</v>
      </c>
      <c r="H23" s="171">
        <f t="shared" si="4"/>
        <v>0</v>
      </c>
      <c r="I23" s="171">
        <f t="shared" si="4"/>
        <v>0</v>
      </c>
      <c r="J23" s="1247"/>
      <c r="K23" s="118">
        <f aca="true" t="shared" si="5" ref="K23:Q23">SUM(K24:K25)</f>
        <v>0</v>
      </c>
      <c r="L23" s="389">
        <f t="shared" si="5"/>
        <v>0</v>
      </c>
      <c r="M23" s="171">
        <f t="shared" si="5"/>
        <v>0</v>
      </c>
      <c r="N23" s="171">
        <f>SUM(N24:N25)</f>
        <v>0</v>
      </c>
      <c r="O23" s="171">
        <f>SUM(O24:O25)</f>
        <v>0</v>
      </c>
      <c r="P23" s="171">
        <f t="shared" si="5"/>
        <v>0</v>
      </c>
      <c r="Q23" s="171">
        <f t="shared" si="5"/>
        <v>0</v>
      </c>
      <c r="R23" s="320"/>
      <c r="S23" s="389"/>
      <c r="T23" s="171"/>
      <c r="U23" s="171"/>
      <c r="V23" s="171"/>
      <c r="W23" s="118"/>
    </row>
    <row r="24" spans="1:23" s="119" customFormat="1" ht="12" customHeight="1">
      <c r="A24" s="128"/>
      <c r="B24" s="129" t="s">
        <v>40</v>
      </c>
      <c r="C24" s="423" t="s">
        <v>120</v>
      </c>
      <c r="D24" s="392"/>
      <c r="E24" s="173"/>
      <c r="F24" s="173"/>
      <c r="G24" s="173"/>
      <c r="H24" s="173"/>
      <c r="I24" s="173"/>
      <c r="J24" s="1249"/>
      <c r="K24" s="130"/>
      <c r="L24" s="392"/>
      <c r="M24" s="173"/>
      <c r="N24" s="173"/>
      <c r="O24" s="173"/>
      <c r="P24" s="173"/>
      <c r="Q24" s="173"/>
      <c r="R24" s="646"/>
      <c r="S24" s="392"/>
      <c r="T24" s="173"/>
      <c r="U24" s="173"/>
      <c r="V24" s="173"/>
      <c r="W24" s="130"/>
    </row>
    <row r="25" spans="1:23" s="119" customFormat="1" ht="12" customHeight="1" thickBot="1">
      <c r="A25" s="131"/>
      <c r="B25" s="132" t="s">
        <v>41</v>
      </c>
      <c r="C25" s="424" t="s">
        <v>122</v>
      </c>
      <c r="D25" s="393"/>
      <c r="E25" s="174"/>
      <c r="F25" s="174"/>
      <c r="G25" s="174"/>
      <c r="H25" s="174"/>
      <c r="I25" s="174"/>
      <c r="J25" s="1250"/>
      <c r="K25" s="133"/>
      <c r="L25" s="393"/>
      <c r="M25" s="174"/>
      <c r="N25" s="174"/>
      <c r="O25" s="174"/>
      <c r="P25" s="174"/>
      <c r="Q25" s="174"/>
      <c r="R25" s="647"/>
      <c r="S25" s="393"/>
      <c r="T25" s="174"/>
      <c r="U25" s="174"/>
      <c r="V25" s="174"/>
      <c r="W25" s="133"/>
    </row>
    <row r="26" spans="1:23" s="119" customFormat="1" ht="12" customHeight="1" thickBot="1">
      <c r="A26" s="126"/>
      <c r="B26" s="117"/>
      <c r="D26" s="394"/>
      <c r="E26" s="175"/>
      <c r="F26" s="175"/>
      <c r="G26" s="175"/>
      <c r="H26" s="175"/>
      <c r="I26" s="175"/>
      <c r="J26" s="1251"/>
      <c r="K26" s="134"/>
      <c r="L26" s="394"/>
      <c r="M26" s="175"/>
      <c r="N26" s="175"/>
      <c r="O26" s="175"/>
      <c r="P26" s="175"/>
      <c r="Q26" s="175"/>
      <c r="R26" s="648"/>
      <c r="S26" s="394"/>
      <c r="T26" s="175"/>
      <c r="U26" s="175"/>
      <c r="V26" s="175"/>
      <c r="W26" s="134"/>
    </row>
    <row r="27" spans="1:23" s="119" customFormat="1" ht="12" customHeight="1" thickBot="1">
      <c r="A27" s="111" t="s">
        <v>10</v>
      </c>
      <c r="B27" s="135"/>
      <c r="C27" s="400" t="s">
        <v>257</v>
      </c>
      <c r="D27" s="389">
        <f aca="true" t="shared" si="6" ref="D27:I27">D9+D18+D23+D26</f>
        <v>34373894</v>
      </c>
      <c r="E27" s="171">
        <f>E9+E18+E23+E26</f>
        <v>34373994</v>
      </c>
      <c r="F27" s="171">
        <f>F9+F18+F23+F26</f>
        <v>34376169</v>
      </c>
      <c r="G27" s="171">
        <f>G9+G18+G23+G26</f>
        <v>32058255</v>
      </c>
      <c r="H27" s="171">
        <f t="shared" si="6"/>
        <v>0</v>
      </c>
      <c r="I27" s="171">
        <f t="shared" si="6"/>
        <v>0</v>
      </c>
      <c r="J27" s="1247" t="e">
        <f>I27/H27</f>
        <v>#DIV/0!</v>
      </c>
      <c r="K27" s="118">
        <f aca="true" t="shared" si="7" ref="K27:Q27">K9+K18+K23+K26</f>
        <v>0</v>
      </c>
      <c r="L27" s="389">
        <f t="shared" si="7"/>
        <v>34373894</v>
      </c>
      <c r="M27" s="171">
        <f t="shared" si="7"/>
        <v>34373994</v>
      </c>
      <c r="N27" s="171">
        <f>N9+N18+N23+N26</f>
        <v>34376169</v>
      </c>
      <c r="O27" s="171">
        <f>O9+O18+O23+O26</f>
        <v>32058255</v>
      </c>
      <c r="P27" s="171">
        <f t="shared" si="7"/>
        <v>0</v>
      </c>
      <c r="Q27" s="171">
        <f t="shared" si="7"/>
        <v>0</v>
      </c>
      <c r="R27" s="320" t="e">
        <f>Q27/P27</f>
        <v>#DIV/0!</v>
      </c>
      <c r="S27" s="389"/>
      <c r="T27" s="171"/>
      <c r="U27" s="171"/>
      <c r="V27" s="171"/>
      <c r="W27" s="118"/>
    </row>
    <row r="28" spans="1:23" s="124" customFormat="1" ht="12" customHeight="1" thickBot="1">
      <c r="A28" s="136" t="s">
        <v>11</v>
      </c>
      <c r="B28" s="137"/>
      <c r="C28" s="425" t="s">
        <v>258</v>
      </c>
      <c r="D28" s="395">
        <f aca="true" t="shared" si="8" ref="D28:I28">SUM(D29:D31)</f>
        <v>133795618</v>
      </c>
      <c r="E28" s="176">
        <f>SUM(E29:E31)</f>
        <v>133795618</v>
      </c>
      <c r="F28" s="176">
        <f>SUM(F29:F31)</f>
        <v>132261934</v>
      </c>
      <c r="G28" s="176">
        <f>SUM(G29:G31)</f>
        <v>123164350</v>
      </c>
      <c r="H28" s="176">
        <f t="shared" si="8"/>
        <v>0</v>
      </c>
      <c r="I28" s="176">
        <f t="shared" si="8"/>
        <v>0</v>
      </c>
      <c r="J28" s="1247" t="e">
        <f>I28/H28</f>
        <v>#DIV/0!</v>
      </c>
      <c r="K28" s="520">
        <f aca="true" t="shared" si="9" ref="K28:Q28">SUM(K29:K31)</f>
        <v>0</v>
      </c>
      <c r="L28" s="395">
        <f t="shared" si="9"/>
        <v>133795618</v>
      </c>
      <c r="M28" s="176">
        <f t="shared" si="9"/>
        <v>133795618</v>
      </c>
      <c r="N28" s="176">
        <f>SUM(N29:N31)</f>
        <v>132261934</v>
      </c>
      <c r="O28" s="176">
        <f>SUM(O29:O31)</f>
        <v>123164350</v>
      </c>
      <c r="P28" s="176">
        <f t="shared" si="9"/>
        <v>0</v>
      </c>
      <c r="Q28" s="176">
        <f t="shared" si="9"/>
        <v>0</v>
      </c>
      <c r="R28" s="320" t="e">
        <f>Q28/P28</f>
        <v>#DIV/0!</v>
      </c>
      <c r="S28" s="389"/>
      <c r="T28" s="171"/>
      <c r="U28" s="171"/>
      <c r="V28" s="171"/>
      <c r="W28" s="118"/>
    </row>
    <row r="29" spans="1:23" s="124" customFormat="1" ht="15" customHeight="1" thickBot="1">
      <c r="A29" s="120"/>
      <c r="B29" s="138" t="s">
        <v>42</v>
      </c>
      <c r="C29" s="423" t="s">
        <v>127</v>
      </c>
      <c r="D29" s="875">
        <v>2283262</v>
      </c>
      <c r="E29" s="1262">
        <v>2283262</v>
      </c>
      <c r="F29" s="1262">
        <v>2283262</v>
      </c>
      <c r="G29" s="1262">
        <v>4505618</v>
      </c>
      <c r="H29" s="1267"/>
      <c r="I29" s="1267"/>
      <c r="J29" s="1253"/>
      <c r="K29" s="1268"/>
      <c r="L29" s="875">
        <v>2283262</v>
      </c>
      <c r="M29" s="1262">
        <v>2283262</v>
      </c>
      <c r="N29" s="1262">
        <v>2283262</v>
      </c>
      <c r="O29" s="1262">
        <v>4505618</v>
      </c>
      <c r="P29" s="173"/>
      <c r="Q29" s="173"/>
      <c r="R29" s="676" t="e">
        <f>Q29/P29</f>
        <v>#DIV/0!</v>
      </c>
      <c r="S29" s="398"/>
      <c r="T29" s="399"/>
      <c r="U29" s="399"/>
      <c r="V29" s="399"/>
      <c r="W29" s="230"/>
    </row>
    <row r="30" spans="1:23" s="124" customFormat="1" ht="15" customHeight="1">
      <c r="A30" s="521"/>
      <c r="B30" s="522" t="s">
        <v>43</v>
      </c>
      <c r="C30" s="423" t="s">
        <v>424</v>
      </c>
      <c r="D30" s="392">
        <v>131512356</v>
      </c>
      <c r="E30" s="173">
        <v>131512356</v>
      </c>
      <c r="F30" s="173">
        <v>129978672</v>
      </c>
      <c r="G30" s="173">
        <v>118658732</v>
      </c>
      <c r="H30" s="173"/>
      <c r="I30" s="173"/>
      <c r="J30" s="1249"/>
      <c r="K30" s="130"/>
      <c r="L30" s="392">
        <v>131512356</v>
      </c>
      <c r="M30" s="173">
        <v>131512356</v>
      </c>
      <c r="N30" s="173">
        <v>129978672</v>
      </c>
      <c r="O30" s="173">
        <v>118658732</v>
      </c>
      <c r="P30" s="524"/>
      <c r="Q30" s="524"/>
      <c r="R30" s="676" t="e">
        <f>Q30/P30</f>
        <v>#DIV/0!</v>
      </c>
      <c r="S30" s="525"/>
      <c r="T30" s="526"/>
      <c r="U30" s="526"/>
      <c r="V30" s="526"/>
      <c r="W30" s="527"/>
    </row>
    <row r="31" spans="1:23" s="124" customFormat="1" ht="15" customHeight="1" thickBot="1">
      <c r="A31" s="139"/>
      <c r="B31" s="140" t="s">
        <v>68</v>
      </c>
      <c r="C31" s="426" t="s">
        <v>129</v>
      </c>
      <c r="D31" s="396"/>
      <c r="E31" s="177"/>
      <c r="F31" s="177"/>
      <c r="G31" s="177"/>
      <c r="H31" s="177"/>
      <c r="I31" s="177"/>
      <c r="J31" s="1253"/>
      <c r="K31" s="141"/>
      <c r="L31" s="396"/>
      <c r="M31" s="177"/>
      <c r="N31" s="177"/>
      <c r="O31" s="177"/>
      <c r="P31" s="177"/>
      <c r="Q31" s="177"/>
      <c r="R31" s="649"/>
      <c r="S31" s="396"/>
      <c r="T31" s="177"/>
      <c r="U31" s="177"/>
      <c r="V31" s="177"/>
      <c r="W31" s="141"/>
    </row>
    <row r="32" spans="1:23" ht="13.5" thickBot="1">
      <c r="A32" s="142" t="s">
        <v>12</v>
      </c>
      <c r="B32" s="257"/>
      <c r="C32" s="404" t="s">
        <v>130</v>
      </c>
      <c r="D32" s="394"/>
      <c r="E32" s="175"/>
      <c r="F32" s="175"/>
      <c r="G32" s="175"/>
      <c r="H32" s="175"/>
      <c r="I32" s="175"/>
      <c r="J32" s="1251"/>
      <c r="K32" s="134"/>
      <c r="L32" s="394"/>
      <c r="M32" s="175"/>
      <c r="N32" s="175"/>
      <c r="O32" s="175"/>
      <c r="P32" s="175"/>
      <c r="Q32" s="175"/>
      <c r="R32" s="648"/>
      <c r="S32" s="394"/>
      <c r="T32" s="175"/>
      <c r="U32" s="175"/>
      <c r="V32" s="175"/>
      <c r="W32" s="134"/>
    </row>
    <row r="33" spans="1:23" s="114" customFormat="1" ht="16.5" customHeight="1" thickBot="1">
      <c r="A33" s="142">
        <v>7</v>
      </c>
      <c r="B33" s="258"/>
      <c r="C33" s="427" t="s">
        <v>259</v>
      </c>
      <c r="D33" s="397">
        <f aca="true" t="shared" si="10" ref="D33:I33">D27+D32+D28</f>
        <v>168169512</v>
      </c>
      <c r="E33" s="178">
        <f>E27+E32+E28</f>
        <v>168169612</v>
      </c>
      <c r="F33" s="178">
        <f>F27+F32+F28</f>
        <v>166638103</v>
      </c>
      <c r="G33" s="178">
        <f>G27+G32+G28</f>
        <v>155222605</v>
      </c>
      <c r="H33" s="178">
        <f t="shared" si="10"/>
        <v>0</v>
      </c>
      <c r="I33" s="178">
        <f t="shared" si="10"/>
        <v>0</v>
      </c>
      <c r="J33" s="1247" t="e">
        <f>I33/H33</f>
        <v>#DIV/0!</v>
      </c>
      <c r="K33" s="163">
        <f aca="true" t="shared" si="11" ref="K33:Q33">K27+K32+K28</f>
        <v>0</v>
      </c>
      <c r="L33" s="397">
        <f t="shared" si="11"/>
        <v>168169512</v>
      </c>
      <c r="M33" s="178">
        <f t="shared" si="11"/>
        <v>168169612</v>
      </c>
      <c r="N33" s="178">
        <f>N27+N32+N28</f>
        <v>166638103</v>
      </c>
      <c r="O33" s="178">
        <f>O27+O32+O28</f>
        <v>155222605</v>
      </c>
      <c r="P33" s="178">
        <f t="shared" si="11"/>
        <v>0</v>
      </c>
      <c r="Q33" s="178">
        <f t="shared" si="11"/>
        <v>0</v>
      </c>
      <c r="R33" s="320" t="e">
        <f>Q33/P33</f>
        <v>#DIV/0!</v>
      </c>
      <c r="S33" s="397"/>
      <c r="T33" s="178"/>
      <c r="U33" s="178"/>
      <c r="V33" s="178"/>
      <c r="W33" s="163"/>
    </row>
    <row r="34" spans="1:23" s="149" customFormat="1" ht="12" customHeight="1">
      <c r="A34" s="146"/>
      <c r="B34" s="146"/>
      <c r="C34" s="147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</row>
    <row r="35" spans="1:23" ht="12" customHeight="1" thickBot="1">
      <c r="A35" s="150"/>
      <c r="B35" s="151"/>
      <c r="C35" s="151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</row>
    <row r="36" spans="1:23" ht="12" customHeight="1" thickBot="1">
      <c r="A36" s="153"/>
      <c r="B36" s="154"/>
      <c r="C36" s="155" t="s">
        <v>132</v>
      </c>
      <c r="D36" s="397"/>
      <c r="E36" s="178"/>
      <c r="F36" s="178"/>
      <c r="G36" s="163"/>
      <c r="H36" s="231"/>
      <c r="I36" s="178"/>
      <c r="J36" s="178"/>
      <c r="K36" s="163"/>
      <c r="L36" s="397"/>
      <c r="M36" s="178"/>
      <c r="N36" s="178"/>
      <c r="O36" s="163"/>
      <c r="P36" s="231"/>
      <c r="Q36" s="178"/>
      <c r="R36" s="163"/>
      <c r="S36" s="397"/>
      <c r="T36" s="178"/>
      <c r="U36" s="178"/>
      <c r="V36" s="163"/>
      <c r="W36" s="145"/>
    </row>
    <row r="37" spans="1:23" ht="12" customHeight="1" thickBot="1">
      <c r="A37" s="126" t="s">
        <v>26</v>
      </c>
      <c r="B37" s="156"/>
      <c r="C37" s="400" t="s">
        <v>133</v>
      </c>
      <c r="D37" s="389">
        <f aca="true" t="shared" si="12" ref="D37:I37">SUM(D38:D42)</f>
        <v>166074212</v>
      </c>
      <c r="E37" s="171">
        <f>SUM(E38:E42)</f>
        <v>166074312</v>
      </c>
      <c r="F37" s="171">
        <f>SUM(F38:F42)</f>
        <v>164542803</v>
      </c>
      <c r="G37" s="118">
        <f>SUM(G38:G42)</f>
        <v>154568934</v>
      </c>
      <c r="H37" s="229">
        <f t="shared" si="12"/>
        <v>0</v>
      </c>
      <c r="I37" s="389">
        <f t="shared" si="12"/>
        <v>0</v>
      </c>
      <c r="J37" s="320" t="e">
        <f>I37/H37</f>
        <v>#DIV/0!</v>
      </c>
      <c r="K37" s="383">
        <f aca="true" t="shared" si="13" ref="K37:Q37">SUM(K38:K42)</f>
        <v>0</v>
      </c>
      <c r="L37" s="389">
        <f t="shared" si="13"/>
        <v>166074212</v>
      </c>
      <c r="M37" s="171">
        <f t="shared" si="13"/>
        <v>166074312</v>
      </c>
      <c r="N37" s="171">
        <f>SUM(N38:N42)</f>
        <v>164542803</v>
      </c>
      <c r="O37" s="118">
        <f>SUM(O38:O42)</f>
        <v>154568934</v>
      </c>
      <c r="P37" s="229">
        <f t="shared" si="13"/>
        <v>0</v>
      </c>
      <c r="Q37" s="389">
        <f t="shared" si="13"/>
        <v>0</v>
      </c>
      <c r="R37" s="320" t="e">
        <f>Q37/P37</f>
        <v>#DIV/0!</v>
      </c>
      <c r="S37" s="389"/>
      <c r="T37" s="171"/>
      <c r="U37" s="171"/>
      <c r="V37" s="118"/>
      <c r="W37" s="383"/>
    </row>
    <row r="38" spans="1:23" ht="12" customHeight="1">
      <c r="A38" s="157"/>
      <c r="B38" s="158" t="s">
        <v>107</v>
      </c>
      <c r="C38" s="401" t="s">
        <v>134</v>
      </c>
      <c r="D38" s="407">
        <v>92551869</v>
      </c>
      <c r="E38" s="179">
        <v>92551869</v>
      </c>
      <c r="F38" s="179">
        <v>92551869</v>
      </c>
      <c r="G38" s="1257">
        <v>90241869</v>
      </c>
      <c r="H38" s="1239"/>
      <c r="I38" s="179"/>
      <c r="J38" s="646"/>
      <c r="K38" s="674"/>
      <c r="L38" s="407">
        <v>92551869</v>
      </c>
      <c r="M38" s="179">
        <v>92551869</v>
      </c>
      <c r="N38" s="179">
        <v>92551869</v>
      </c>
      <c r="O38" s="1257">
        <v>90241869</v>
      </c>
      <c r="P38" s="1239"/>
      <c r="Q38" s="179"/>
      <c r="R38" s="646" t="e">
        <f>Q38/P38</f>
        <v>#DIV/0!</v>
      </c>
      <c r="S38" s="391"/>
      <c r="T38" s="172"/>
      <c r="U38" s="172"/>
      <c r="V38" s="123"/>
      <c r="W38" s="414"/>
    </row>
    <row r="39" spans="1:23" ht="12" customHeight="1">
      <c r="A39" s="159"/>
      <c r="B39" s="160" t="s">
        <v>108</v>
      </c>
      <c r="C39" s="402" t="s">
        <v>49</v>
      </c>
      <c r="D39" s="408">
        <v>15946457</v>
      </c>
      <c r="E39" s="180">
        <v>15946457</v>
      </c>
      <c r="F39" s="180">
        <v>15946457</v>
      </c>
      <c r="G39" s="161">
        <v>15316457</v>
      </c>
      <c r="H39" s="1259"/>
      <c r="I39" s="180"/>
      <c r="J39" s="676"/>
      <c r="K39" s="415"/>
      <c r="L39" s="408">
        <v>15946457</v>
      </c>
      <c r="M39" s="180">
        <v>15946457</v>
      </c>
      <c r="N39" s="180">
        <v>15946457</v>
      </c>
      <c r="O39" s="161">
        <v>15316457</v>
      </c>
      <c r="P39" s="1259"/>
      <c r="Q39" s="180"/>
      <c r="R39" s="676" t="e">
        <f>Q39/P39</f>
        <v>#DIV/0!</v>
      </c>
      <c r="S39" s="391"/>
      <c r="T39" s="172"/>
      <c r="U39" s="172"/>
      <c r="V39" s="123"/>
      <c r="W39" s="414"/>
    </row>
    <row r="40" spans="1:23" ht="12" customHeight="1">
      <c r="A40" s="159"/>
      <c r="B40" s="160" t="s">
        <v>109</v>
      </c>
      <c r="C40" s="402" t="s">
        <v>135</v>
      </c>
      <c r="D40" s="408">
        <v>57575886</v>
      </c>
      <c r="E40" s="180">
        <v>57575986</v>
      </c>
      <c r="F40" s="180">
        <v>56044477</v>
      </c>
      <c r="G40" s="161">
        <v>49010608</v>
      </c>
      <c r="H40" s="1259"/>
      <c r="I40" s="180"/>
      <c r="J40" s="676"/>
      <c r="K40" s="415"/>
      <c r="L40" s="408">
        <v>57575886</v>
      </c>
      <c r="M40" s="180">
        <v>57575986</v>
      </c>
      <c r="N40" s="180">
        <v>56044477</v>
      </c>
      <c r="O40" s="161">
        <v>49010608</v>
      </c>
      <c r="P40" s="1259"/>
      <c r="Q40" s="180"/>
      <c r="R40" s="676" t="e">
        <f>Q40/P40</f>
        <v>#DIV/0!</v>
      </c>
      <c r="S40" s="391"/>
      <c r="T40" s="172"/>
      <c r="U40" s="172"/>
      <c r="V40" s="123"/>
      <c r="W40" s="414"/>
    </row>
    <row r="41" spans="1:23" s="149" customFormat="1" ht="12" customHeight="1">
      <c r="A41" s="159"/>
      <c r="B41" s="160" t="s">
        <v>110</v>
      </c>
      <c r="C41" s="402" t="s">
        <v>78</v>
      </c>
      <c r="D41" s="408"/>
      <c r="E41" s="180"/>
      <c r="F41" s="180"/>
      <c r="G41" s="161"/>
      <c r="H41" s="1259"/>
      <c r="I41" s="180"/>
      <c r="J41" s="180"/>
      <c r="K41" s="415"/>
      <c r="L41" s="408"/>
      <c r="M41" s="180"/>
      <c r="N41" s="180"/>
      <c r="O41" s="161"/>
      <c r="P41" s="1259"/>
      <c r="Q41" s="180"/>
      <c r="R41" s="180"/>
      <c r="S41" s="391"/>
      <c r="T41" s="172"/>
      <c r="U41" s="172"/>
      <c r="V41" s="123"/>
      <c r="W41" s="414"/>
    </row>
    <row r="42" spans="1:23" ht="12" customHeight="1" thickBot="1">
      <c r="A42" s="159"/>
      <c r="B42" s="160" t="s">
        <v>48</v>
      </c>
      <c r="C42" s="402" t="s">
        <v>80</v>
      </c>
      <c r="D42" s="408"/>
      <c r="E42" s="180"/>
      <c r="F42" s="180"/>
      <c r="G42" s="161"/>
      <c r="H42" s="1259"/>
      <c r="I42" s="180"/>
      <c r="J42" s="676"/>
      <c r="K42" s="415"/>
      <c r="L42" s="408"/>
      <c r="M42" s="180"/>
      <c r="N42" s="180"/>
      <c r="O42" s="161"/>
      <c r="P42" s="1259"/>
      <c r="Q42" s="180"/>
      <c r="R42" s="676" t="e">
        <f>P42/O42</f>
        <v>#DIV/0!</v>
      </c>
      <c r="S42" s="408"/>
      <c r="T42" s="180"/>
      <c r="U42" s="180"/>
      <c r="V42" s="161"/>
      <c r="W42" s="415"/>
    </row>
    <row r="43" spans="1:23" ht="12" customHeight="1" thickBot="1">
      <c r="A43" s="126" t="s">
        <v>27</v>
      </c>
      <c r="B43" s="156"/>
      <c r="C43" s="400" t="s">
        <v>136</v>
      </c>
      <c r="D43" s="389">
        <f aca="true" t="shared" si="14" ref="D43:I43">SUM(D44:D48)</f>
        <v>2095300</v>
      </c>
      <c r="E43" s="171">
        <f>SUM(E44:E48)</f>
        <v>2095300</v>
      </c>
      <c r="F43" s="171">
        <f>SUM(F44:F48)</f>
        <v>2095300</v>
      </c>
      <c r="G43" s="118">
        <f>SUM(G44:G48)</f>
        <v>653671</v>
      </c>
      <c r="H43" s="229">
        <f t="shared" si="14"/>
        <v>0</v>
      </c>
      <c r="I43" s="389">
        <f t="shared" si="14"/>
        <v>0</v>
      </c>
      <c r="J43" s="320" t="e">
        <f>I43/H43</f>
        <v>#DIV/0!</v>
      </c>
      <c r="K43" s="383">
        <f aca="true" t="shared" si="15" ref="K43:Q43">SUM(K44:K48)</f>
        <v>0</v>
      </c>
      <c r="L43" s="389">
        <f t="shared" si="15"/>
        <v>2095300</v>
      </c>
      <c r="M43" s="171">
        <f t="shared" si="15"/>
        <v>2095300</v>
      </c>
      <c r="N43" s="171">
        <f>SUM(N44:N48)</f>
        <v>2095300</v>
      </c>
      <c r="O43" s="118">
        <f>SUM(O44:O48)</f>
        <v>653671</v>
      </c>
      <c r="P43" s="229">
        <f t="shared" si="15"/>
        <v>0</v>
      </c>
      <c r="Q43" s="389">
        <f t="shared" si="15"/>
        <v>0</v>
      </c>
      <c r="R43" s="320" t="e">
        <f>Q43/P43</f>
        <v>#DIV/0!</v>
      </c>
      <c r="S43" s="389"/>
      <c r="T43" s="171"/>
      <c r="U43" s="171"/>
      <c r="V43" s="118"/>
      <c r="W43" s="383"/>
    </row>
    <row r="44" spans="1:23" ht="12" customHeight="1">
      <c r="A44" s="157"/>
      <c r="B44" s="158" t="s">
        <v>137</v>
      </c>
      <c r="C44" s="401" t="s">
        <v>90</v>
      </c>
      <c r="D44" s="407">
        <v>2095300</v>
      </c>
      <c r="E44" s="179">
        <v>2095300</v>
      </c>
      <c r="F44" s="179">
        <v>2095300</v>
      </c>
      <c r="G44" s="1257">
        <v>653671</v>
      </c>
      <c r="H44" s="1239"/>
      <c r="I44" s="179"/>
      <c r="J44" s="646"/>
      <c r="K44" s="674"/>
      <c r="L44" s="407">
        <v>2095300</v>
      </c>
      <c r="M44" s="179">
        <v>2095300</v>
      </c>
      <c r="N44" s="179">
        <v>2095300</v>
      </c>
      <c r="O44" s="1257">
        <v>653671</v>
      </c>
      <c r="P44" s="1239"/>
      <c r="Q44" s="179"/>
      <c r="R44" s="646" t="e">
        <f>Q44/P44</f>
        <v>#DIV/0!</v>
      </c>
      <c r="S44" s="391"/>
      <c r="T44" s="172"/>
      <c r="U44" s="172"/>
      <c r="V44" s="123"/>
      <c r="W44" s="414"/>
    </row>
    <row r="45" spans="1:23" ht="12" customHeight="1">
      <c r="A45" s="157"/>
      <c r="B45" s="158"/>
      <c r="C45" s="401" t="s">
        <v>331</v>
      </c>
      <c r="D45" s="407"/>
      <c r="E45" s="179"/>
      <c r="F45" s="179"/>
      <c r="G45" s="1257"/>
      <c r="H45" s="1239"/>
      <c r="I45" s="179"/>
      <c r="J45" s="179"/>
      <c r="K45" s="674"/>
      <c r="L45" s="407"/>
      <c r="M45" s="179"/>
      <c r="N45" s="179"/>
      <c r="O45" s="1257"/>
      <c r="P45" s="1239"/>
      <c r="Q45" s="179"/>
      <c r="R45" s="179"/>
      <c r="S45" s="391"/>
      <c r="T45" s="172"/>
      <c r="U45" s="172"/>
      <c r="V45" s="123"/>
      <c r="W45" s="414"/>
    </row>
    <row r="46" spans="1:23" ht="12" customHeight="1">
      <c r="A46" s="159"/>
      <c r="B46" s="160" t="s">
        <v>138</v>
      </c>
      <c r="C46" s="402" t="s">
        <v>91</v>
      </c>
      <c r="D46" s="408"/>
      <c r="E46" s="180"/>
      <c r="F46" s="180"/>
      <c r="G46" s="161"/>
      <c r="H46" s="1259"/>
      <c r="I46" s="180"/>
      <c r="J46" s="180"/>
      <c r="K46" s="415"/>
      <c r="L46" s="408"/>
      <c r="M46" s="180"/>
      <c r="N46" s="180"/>
      <c r="O46" s="161"/>
      <c r="P46" s="1259"/>
      <c r="Q46" s="180"/>
      <c r="R46" s="180"/>
      <c r="S46" s="408"/>
      <c r="T46" s="180"/>
      <c r="U46" s="180"/>
      <c r="V46" s="161"/>
      <c r="W46" s="415"/>
    </row>
    <row r="47" spans="1:23" ht="15" customHeight="1">
      <c r="A47" s="159"/>
      <c r="B47" s="160" t="s">
        <v>39</v>
      </c>
      <c r="C47" s="402" t="s">
        <v>140</v>
      </c>
      <c r="D47" s="408"/>
      <c r="E47" s="180"/>
      <c r="F47" s="180"/>
      <c r="G47" s="161"/>
      <c r="H47" s="1259"/>
      <c r="I47" s="180"/>
      <c r="J47" s="180"/>
      <c r="K47" s="415"/>
      <c r="L47" s="408"/>
      <c r="M47" s="180"/>
      <c r="N47" s="180"/>
      <c r="O47" s="161"/>
      <c r="P47" s="1259"/>
      <c r="Q47" s="180"/>
      <c r="R47" s="180"/>
      <c r="S47" s="408"/>
      <c r="T47" s="180"/>
      <c r="U47" s="180"/>
      <c r="V47" s="161"/>
      <c r="W47" s="415"/>
    </row>
    <row r="48" spans="1:23" ht="13.5" thickBot="1">
      <c r="A48" s="159"/>
      <c r="B48" s="160" t="s">
        <v>256</v>
      </c>
      <c r="C48" s="402" t="s">
        <v>142</v>
      </c>
      <c r="D48" s="408"/>
      <c r="E48" s="180"/>
      <c r="F48" s="180"/>
      <c r="G48" s="161"/>
      <c r="H48" s="1259"/>
      <c r="I48" s="180"/>
      <c r="J48" s="180"/>
      <c r="K48" s="415"/>
      <c r="L48" s="408"/>
      <c r="M48" s="180"/>
      <c r="N48" s="180"/>
      <c r="O48" s="161"/>
      <c r="P48" s="1259"/>
      <c r="Q48" s="180"/>
      <c r="R48" s="180"/>
      <c r="S48" s="408"/>
      <c r="T48" s="180"/>
      <c r="U48" s="180"/>
      <c r="V48" s="161"/>
      <c r="W48" s="415"/>
    </row>
    <row r="49" spans="1:23" ht="15" customHeight="1" thickBot="1">
      <c r="A49" s="126" t="s">
        <v>9</v>
      </c>
      <c r="B49" s="156"/>
      <c r="C49" s="403" t="s">
        <v>143</v>
      </c>
      <c r="D49" s="394"/>
      <c r="E49" s="175"/>
      <c r="F49" s="175"/>
      <c r="G49" s="134"/>
      <c r="H49" s="226"/>
      <c r="I49" s="175"/>
      <c r="J49" s="175"/>
      <c r="K49" s="384"/>
      <c r="L49" s="394"/>
      <c r="M49" s="175"/>
      <c r="N49" s="175"/>
      <c r="O49" s="134"/>
      <c r="P49" s="226"/>
      <c r="Q49" s="175"/>
      <c r="R49" s="175"/>
      <c r="S49" s="394"/>
      <c r="T49" s="175"/>
      <c r="U49" s="175"/>
      <c r="V49" s="134"/>
      <c r="W49" s="384"/>
    </row>
    <row r="50" spans="1:23" ht="14.25" customHeight="1" thickBot="1">
      <c r="A50" s="142" t="s">
        <v>10</v>
      </c>
      <c r="B50" s="257"/>
      <c r="C50" s="404" t="s">
        <v>144</v>
      </c>
      <c r="D50" s="394"/>
      <c r="E50" s="175"/>
      <c r="F50" s="175"/>
      <c r="G50" s="134"/>
      <c r="H50" s="226"/>
      <c r="I50" s="175"/>
      <c r="J50" s="175"/>
      <c r="K50" s="384"/>
      <c r="L50" s="394"/>
      <c r="M50" s="175"/>
      <c r="N50" s="175"/>
      <c r="O50" s="134"/>
      <c r="P50" s="226"/>
      <c r="Q50" s="175"/>
      <c r="R50" s="175"/>
      <c r="S50" s="394"/>
      <c r="T50" s="175"/>
      <c r="U50" s="175"/>
      <c r="V50" s="134"/>
      <c r="W50" s="384"/>
    </row>
    <row r="51" spans="1:23" ht="13.5" thickBot="1">
      <c r="A51" s="126">
        <v>5</v>
      </c>
      <c r="B51" s="162"/>
      <c r="C51" s="405" t="s">
        <v>260</v>
      </c>
      <c r="D51" s="397">
        <f aca="true" t="shared" si="16" ref="D51:I51">D37+D43+D49+D50</f>
        <v>168169512</v>
      </c>
      <c r="E51" s="178">
        <f>E37+E43+E49+E50</f>
        <v>168169612</v>
      </c>
      <c r="F51" s="178">
        <f>F37+F43+F49+F50</f>
        <v>166638103</v>
      </c>
      <c r="G51" s="163">
        <f>G37+G43+G49+G50</f>
        <v>155222605</v>
      </c>
      <c r="H51" s="231">
        <f t="shared" si="16"/>
        <v>0</v>
      </c>
      <c r="I51" s="397">
        <f t="shared" si="16"/>
        <v>0</v>
      </c>
      <c r="J51" s="320" t="e">
        <f>I51/H51</f>
        <v>#DIV/0!</v>
      </c>
      <c r="K51" s="145">
        <f aca="true" t="shared" si="17" ref="K51:Q51">K37+K43+K49+K50</f>
        <v>0</v>
      </c>
      <c r="L51" s="397">
        <f t="shared" si="17"/>
        <v>168169512</v>
      </c>
      <c r="M51" s="178">
        <f t="shared" si="17"/>
        <v>168169612</v>
      </c>
      <c r="N51" s="178">
        <f>N37+N43+N49+N50</f>
        <v>166638103</v>
      </c>
      <c r="O51" s="163">
        <f>O37+O43+O49+O50</f>
        <v>155222605</v>
      </c>
      <c r="P51" s="231">
        <f t="shared" si="17"/>
        <v>0</v>
      </c>
      <c r="Q51" s="397">
        <f t="shared" si="17"/>
        <v>0</v>
      </c>
      <c r="R51" s="320" t="e">
        <f>Q51/P51</f>
        <v>#DIV/0!</v>
      </c>
      <c r="S51" s="397"/>
      <c r="T51" s="178"/>
      <c r="U51" s="178"/>
      <c r="V51" s="163"/>
      <c r="W51" s="145"/>
    </row>
    <row r="52" spans="1:23" ht="13.5" thickBot="1">
      <c r="A52" s="259"/>
      <c r="B52" s="260"/>
      <c r="C52" s="260"/>
      <c r="D52" s="434"/>
      <c r="E52" s="435"/>
      <c r="F52" s="435"/>
      <c r="G52" s="436"/>
      <c r="H52" s="1260"/>
      <c r="I52" s="435"/>
      <c r="J52" s="435"/>
      <c r="K52" s="681"/>
      <c r="L52" s="434"/>
      <c r="M52" s="435"/>
      <c r="N52" s="435"/>
      <c r="O52" s="436"/>
      <c r="P52" s="1260"/>
      <c r="Q52" s="435"/>
      <c r="R52" s="435"/>
      <c r="S52" s="434"/>
      <c r="T52" s="435"/>
      <c r="U52" s="435"/>
      <c r="V52" s="436"/>
      <c r="W52" s="681"/>
    </row>
    <row r="53" spans="1:23" ht="13.5" thickBot="1">
      <c r="A53" s="166" t="s">
        <v>146</v>
      </c>
      <c r="B53" s="167"/>
      <c r="C53" s="406"/>
      <c r="D53" s="420">
        <v>26</v>
      </c>
      <c r="E53" s="183">
        <v>26</v>
      </c>
      <c r="F53" s="183">
        <v>26</v>
      </c>
      <c r="G53" s="409">
        <v>26</v>
      </c>
      <c r="H53" s="1261">
        <v>22</v>
      </c>
      <c r="I53" s="183">
        <v>22</v>
      </c>
      <c r="J53" s="320">
        <f>I53/H53</f>
        <v>1</v>
      </c>
      <c r="K53" s="182"/>
      <c r="L53" s="420">
        <v>26</v>
      </c>
      <c r="M53" s="183">
        <v>26</v>
      </c>
      <c r="N53" s="183">
        <v>26</v>
      </c>
      <c r="O53" s="409">
        <v>26</v>
      </c>
      <c r="P53" s="1261">
        <v>22</v>
      </c>
      <c r="Q53" s="183">
        <v>22</v>
      </c>
      <c r="R53" s="320">
        <f>Q53/P53</f>
        <v>1</v>
      </c>
      <c r="S53" s="420"/>
      <c r="T53" s="183"/>
      <c r="U53" s="183"/>
      <c r="V53" s="409"/>
      <c r="W53" s="182"/>
    </row>
    <row r="54" spans="1:23" ht="13.5" thickBot="1">
      <c r="A54" s="166" t="s">
        <v>147</v>
      </c>
      <c r="B54" s="167"/>
      <c r="C54" s="406"/>
      <c r="D54" s="420">
        <v>0</v>
      </c>
      <c r="E54" s="183">
        <v>0</v>
      </c>
      <c r="F54" s="183">
        <v>0</v>
      </c>
      <c r="G54" s="409">
        <v>0</v>
      </c>
      <c r="H54" s="1261">
        <v>0</v>
      </c>
      <c r="I54" s="183">
        <v>0</v>
      </c>
      <c r="J54" s="320"/>
      <c r="K54" s="182"/>
      <c r="L54" s="420">
        <v>0</v>
      </c>
      <c r="M54" s="183">
        <v>0</v>
      </c>
      <c r="N54" s="183">
        <v>0</v>
      </c>
      <c r="O54" s="409">
        <v>0</v>
      </c>
      <c r="P54" s="1261">
        <v>0</v>
      </c>
      <c r="Q54" s="183">
        <v>0</v>
      </c>
      <c r="R54" s="320"/>
      <c r="S54" s="420"/>
      <c r="T54" s="183"/>
      <c r="U54" s="183"/>
      <c r="V54" s="409"/>
      <c r="W54" s="182"/>
    </row>
    <row r="55" spans="6:11" ht="12.75">
      <c r="F55" s="263"/>
      <c r="G55" s="263"/>
      <c r="H55" s="263"/>
      <c r="I55" s="263"/>
      <c r="J55" s="263"/>
      <c r="K55" s="263"/>
    </row>
    <row r="56" spans="1:11" ht="12.75">
      <c r="A56" s="1385" t="s">
        <v>148</v>
      </c>
      <c r="B56" s="1385"/>
      <c r="C56" s="1385"/>
      <c r="D56" s="1385"/>
      <c r="E56" s="246"/>
      <c r="F56" s="636"/>
      <c r="G56" s="636"/>
      <c r="H56" s="636"/>
      <c r="I56" s="636"/>
      <c r="J56" s="246"/>
      <c r="K56" s="246"/>
    </row>
    <row r="57" spans="1:3" ht="12.75">
      <c r="A57" s="1385"/>
      <c r="B57" s="1385"/>
      <c r="C57" s="1385"/>
    </row>
    <row r="58" spans="4:11" ht="12.75">
      <c r="D58" s="263">
        <v>0</v>
      </c>
      <c r="E58" s="263"/>
      <c r="F58" s="263"/>
      <c r="G58" s="263"/>
      <c r="H58" s="263"/>
      <c r="I58" s="263"/>
      <c r="J58" s="263"/>
      <c r="K58" s="263"/>
    </row>
  </sheetData>
  <sheetProtection/>
  <mergeCells count="9">
    <mergeCell ref="L1:V1"/>
    <mergeCell ref="S5:W5"/>
    <mergeCell ref="A3:S3"/>
    <mergeCell ref="A57:C57"/>
    <mergeCell ref="A56:D56"/>
    <mergeCell ref="A6:B6"/>
    <mergeCell ref="D5:K5"/>
    <mergeCell ref="L5:R5"/>
    <mergeCell ref="L2:V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="70" zoomScaleNormal="70" workbookViewId="0" topLeftCell="O22">
      <selection activeCell="V42" activeCellId="1" sqref="O42 V42"/>
    </sheetView>
  </sheetViews>
  <sheetFormatPr defaultColWidth="9.140625" defaultRowHeight="12.75"/>
  <cols>
    <col min="1" max="1" width="9.140625" style="952" customWidth="1"/>
    <col min="2" max="2" width="54.28125" style="952" customWidth="1"/>
    <col min="3" max="3" width="5.57421875" style="970" customWidth="1"/>
    <col min="4" max="4" width="17.421875" style="968" customWidth="1"/>
    <col min="5" max="5" width="16.140625" style="968" customWidth="1"/>
    <col min="6" max="6" width="18.57421875" style="968" customWidth="1"/>
    <col min="7" max="7" width="15.7109375" style="968" customWidth="1"/>
    <col min="8" max="9" width="14.140625" style="968" hidden="1" customWidth="1"/>
    <col min="10" max="11" width="20.8515625" style="968" hidden="1" customWidth="1"/>
    <col min="12" max="12" width="20.28125" style="952" customWidth="1"/>
    <col min="13" max="15" width="15.28125" style="952" customWidth="1"/>
    <col min="16" max="18" width="15.28125" style="952" hidden="1" customWidth="1"/>
    <col min="19" max="19" width="18.28125" style="952" customWidth="1"/>
    <col min="20" max="20" width="13.28125" style="952" customWidth="1"/>
    <col min="21" max="21" width="14.7109375" style="952" customWidth="1"/>
    <col min="22" max="22" width="17.421875" style="952" customWidth="1"/>
    <col min="23" max="23" width="14.8515625" style="952" hidden="1" customWidth="1"/>
    <col min="24" max="24" width="17.00390625" style="952" hidden="1" customWidth="1"/>
    <col min="25" max="25" width="3.8515625" style="952" hidden="1" customWidth="1"/>
    <col min="26" max="26" width="17.140625" style="952" customWidth="1"/>
    <col min="27" max="16384" width="9.140625" style="952" customWidth="1"/>
  </cols>
  <sheetData>
    <row r="1" spans="1:20" ht="15.75" customHeight="1">
      <c r="A1" s="1402" t="s">
        <v>56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  <c r="N1" s="1402"/>
      <c r="O1" s="1402"/>
      <c r="P1" s="1402"/>
      <c r="Q1" s="1402"/>
      <c r="R1" s="1402"/>
      <c r="S1" s="1402"/>
      <c r="T1" s="1402"/>
    </row>
    <row r="2" spans="1:20" ht="16.5" thickBot="1">
      <c r="A2" s="953"/>
      <c r="B2" s="951"/>
      <c r="C2" s="951"/>
      <c r="D2" s="954"/>
      <c r="E2" s="954"/>
      <c r="F2" s="954"/>
      <c r="G2" s="954"/>
      <c r="H2" s="954"/>
      <c r="I2" s="954"/>
      <c r="J2" s="954"/>
      <c r="K2" s="954"/>
      <c r="L2" s="951"/>
      <c r="M2" s="951"/>
      <c r="N2" s="951"/>
      <c r="O2" s="951"/>
      <c r="P2" s="951"/>
      <c r="Q2" s="951"/>
      <c r="R2" s="951"/>
      <c r="S2" s="1403" t="s">
        <v>425</v>
      </c>
      <c r="T2" s="1403"/>
    </row>
    <row r="3" spans="1:25" s="958" customFormat="1" ht="31.5" customHeight="1" thickBot="1">
      <c r="A3" s="955" t="s">
        <v>5</v>
      </c>
      <c r="B3" s="956" t="s">
        <v>33</v>
      </c>
      <c r="C3" s="957" t="s">
        <v>251</v>
      </c>
      <c r="D3" s="1398" t="s">
        <v>4</v>
      </c>
      <c r="E3" s="1399"/>
      <c r="F3" s="1399"/>
      <c r="G3" s="1399"/>
      <c r="H3" s="1399"/>
      <c r="I3" s="1399"/>
      <c r="J3" s="1400"/>
      <c r="K3" s="1005"/>
      <c r="L3" s="1393" t="s">
        <v>252</v>
      </c>
      <c r="M3" s="1394"/>
      <c r="N3" s="1394"/>
      <c r="O3" s="1394"/>
      <c r="P3" s="1394"/>
      <c r="Q3" s="1394"/>
      <c r="R3" s="1395"/>
      <c r="S3" s="1393" t="s">
        <v>25</v>
      </c>
      <c r="T3" s="1394"/>
      <c r="U3" s="1394"/>
      <c r="V3" s="1394"/>
      <c r="W3" s="1394"/>
      <c r="X3" s="1394"/>
      <c r="Y3" s="1395"/>
    </row>
    <row r="4" spans="1:25" s="958" customFormat="1" ht="31.5" customHeight="1">
      <c r="A4" s="959"/>
      <c r="B4" s="1028"/>
      <c r="C4" s="960"/>
      <c r="D4" s="961" t="s">
        <v>62</v>
      </c>
      <c r="E4" s="962" t="s">
        <v>215</v>
      </c>
      <c r="F4" s="962" t="s">
        <v>218</v>
      </c>
      <c r="G4" s="963" t="s">
        <v>220</v>
      </c>
      <c r="H4" s="963" t="s">
        <v>542</v>
      </c>
      <c r="I4" s="963" t="s">
        <v>543</v>
      </c>
      <c r="J4" s="964" t="s">
        <v>223</v>
      </c>
      <c r="K4" s="1006"/>
      <c r="L4" s="961" t="s">
        <v>62</v>
      </c>
      <c r="M4" s="962" t="s">
        <v>215</v>
      </c>
      <c r="N4" s="962" t="s">
        <v>218</v>
      </c>
      <c r="O4" s="963" t="s">
        <v>220</v>
      </c>
      <c r="P4" s="963" t="s">
        <v>232</v>
      </c>
      <c r="Q4" s="963" t="s">
        <v>237</v>
      </c>
      <c r="R4" s="964" t="s">
        <v>224</v>
      </c>
      <c r="S4" s="961" t="s">
        <v>62</v>
      </c>
      <c r="T4" s="962" t="s">
        <v>215</v>
      </c>
      <c r="U4" s="962" t="s">
        <v>218</v>
      </c>
      <c r="V4" s="963" t="s">
        <v>220</v>
      </c>
      <c r="W4" s="963" t="s">
        <v>232</v>
      </c>
      <c r="X4" s="963" t="s">
        <v>237</v>
      </c>
      <c r="Y4" s="964" t="s">
        <v>224</v>
      </c>
    </row>
    <row r="5" spans="1:25" ht="29.25" customHeight="1">
      <c r="A5" s="965">
        <v>1</v>
      </c>
      <c r="B5" s="1029" t="s">
        <v>568</v>
      </c>
      <c r="C5" s="461" t="s">
        <v>201</v>
      </c>
      <c r="D5" s="463">
        <v>1500000</v>
      </c>
      <c r="E5" s="823">
        <v>1500000</v>
      </c>
      <c r="F5" s="823">
        <v>1500000</v>
      </c>
      <c r="G5" s="823">
        <v>1500000</v>
      </c>
      <c r="H5" s="823"/>
      <c r="I5" s="822"/>
      <c r="J5" s="1105">
        <f>+H5+I5</f>
        <v>0</v>
      </c>
      <c r="K5" s="1092"/>
      <c r="L5" s="463"/>
      <c r="M5" s="823"/>
      <c r="N5" s="823"/>
      <c r="O5" s="823"/>
      <c r="P5" s="823"/>
      <c r="Q5" s="823"/>
      <c r="R5" s="467"/>
      <c r="S5" s="463">
        <f aca="true" t="shared" si="0" ref="S5:V16">+D5-L5</f>
        <v>1500000</v>
      </c>
      <c r="T5" s="823">
        <f t="shared" si="0"/>
        <v>1500000</v>
      </c>
      <c r="U5" s="823">
        <f t="shared" si="0"/>
        <v>1500000</v>
      </c>
      <c r="V5" s="823">
        <f t="shared" si="0"/>
        <v>1500000</v>
      </c>
      <c r="W5" s="823"/>
      <c r="X5" s="823"/>
      <c r="Y5" s="467"/>
    </row>
    <row r="6" spans="1:25" ht="29.25" customHeight="1">
      <c r="A6" s="965">
        <v>2</v>
      </c>
      <c r="B6" s="1029" t="s">
        <v>569</v>
      </c>
      <c r="C6" s="461" t="s">
        <v>201</v>
      </c>
      <c r="D6" s="463">
        <v>3000000</v>
      </c>
      <c r="E6" s="823">
        <v>3000000</v>
      </c>
      <c r="F6" s="823">
        <v>3000000</v>
      </c>
      <c r="G6" s="823">
        <v>3000000</v>
      </c>
      <c r="H6" s="822"/>
      <c r="I6" s="822"/>
      <c r="J6" s="1105">
        <f>+H6+I6</f>
        <v>0</v>
      </c>
      <c r="K6" s="1092"/>
      <c r="L6" s="463"/>
      <c r="M6" s="821"/>
      <c r="N6" s="821"/>
      <c r="O6" s="821"/>
      <c r="P6" s="821"/>
      <c r="Q6" s="821"/>
      <c r="R6" s="467"/>
      <c r="S6" s="463">
        <f t="shared" si="0"/>
        <v>3000000</v>
      </c>
      <c r="T6" s="823">
        <f t="shared" si="0"/>
        <v>3000000</v>
      </c>
      <c r="U6" s="823">
        <f t="shared" si="0"/>
        <v>3000000</v>
      </c>
      <c r="V6" s="823">
        <f t="shared" si="0"/>
        <v>3000000</v>
      </c>
      <c r="W6" s="822"/>
      <c r="X6" s="823"/>
      <c r="Y6" s="467"/>
    </row>
    <row r="7" spans="1:25" ht="29.25" customHeight="1">
      <c r="A7" s="965">
        <v>3</v>
      </c>
      <c r="B7" s="1029" t="s">
        <v>570</v>
      </c>
      <c r="C7" s="461" t="s">
        <v>201</v>
      </c>
      <c r="D7" s="463">
        <v>700000</v>
      </c>
      <c r="E7" s="823">
        <v>700000</v>
      </c>
      <c r="F7" s="823">
        <v>700000</v>
      </c>
      <c r="G7" s="823">
        <v>700000</v>
      </c>
      <c r="H7" s="1106"/>
      <c r="I7" s="1106"/>
      <c r="J7" s="1105">
        <f>+H7+I7</f>
        <v>0</v>
      </c>
      <c r="K7" s="1092"/>
      <c r="L7" s="463"/>
      <c r="M7" s="685"/>
      <c r="N7" s="685"/>
      <c r="O7" s="685"/>
      <c r="P7" s="685"/>
      <c r="Q7" s="685"/>
      <c r="R7" s="467"/>
      <c r="S7" s="463">
        <f t="shared" si="0"/>
        <v>700000</v>
      </c>
      <c r="T7" s="823">
        <f t="shared" si="0"/>
        <v>700000</v>
      </c>
      <c r="U7" s="823">
        <f t="shared" si="0"/>
        <v>700000</v>
      </c>
      <c r="V7" s="823">
        <f t="shared" si="0"/>
        <v>700000</v>
      </c>
      <c r="W7" s="1106"/>
      <c r="X7" s="823"/>
      <c r="Y7" s="467"/>
    </row>
    <row r="8" spans="1:25" ht="29.25" customHeight="1">
      <c r="A8" s="965">
        <v>4</v>
      </c>
      <c r="B8" s="1029" t="s">
        <v>624</v>
      </c>
      <c r="C8" s="461" t="s">
        <v>201</v>
      </c>
      <c r="D8" s="463">
        <v>10000000</v>
      </c>
      <c r="E8" s="823">
        <v>10000000</v>
      </c>
      <c r="F8" s="823">
        <v>10000000</v>
      </c>
      <c r="G8" s="823">
        <v>10000000</v>
      </c>
      <c r="H8" s="39">
        <f>191070+1023622+260824+1037795+85800</f>
        <v>2599111</v>
      </c>
      <c r="I8" s="39">
        <f>51589+650171</f>
        <v>701760</v>
      </c>
      <c r="J8" s="1105">
        <f aca="true" t="shared" si="1" ref="J8:J19">+H8+I8</f>
        <v>3300871</v>
      </c>
      <c r="K8" s="1092"/>
      <c r="L8" s="463"/>
      <c r="M8" s="685"/>
      <c r="N8" s="685"/>
      <c r="O8" s="685"/>
      <c r="P8" s="685"/>
      <c r="Q8" s="685"/>
      <c r="R8" s="467"/>
      <c r="S8" s="463">
        <f t="shared" si="0"/>
        <v>10000000</v>
      </c>
      <c r="T8" s="823">
        <f t="shared" si="0"/>
        <v>10000000</v>
      </c>
      <c r="U8" s="823">
        <f t="shared" si="0"/>
        <v>10000000</v>
      </c>
      <c r="V8" s="823">
        <f t="shared" si="0"/>
        <v>10000000</v>
      </c>
      <c r="W8" s="39"/>
      <c r="X8" s="823"/>
      <c r="Y8" s="467"/>
    </row>
    <row r="9" spans="1:25" ht="29.25" customHeight="1">
      <c r="A9" s="965">
        <v>5</v>
      </c>
      <c r="B9" s="1029" t="s">
        <v>571</v>
      </c>
      <c r="C9" s="461" t="s">
        <v>200</v>
      </c>
      <c r="D9" s="463">
        <v>516012</v>
      </c>
      <c r="E9" s="823">
        <f>516012+58116+15692</f>
        <v>589820</v>
      </c>
      <c r="F9" s="823">
        <f>516012+58116+15692</f>
        <v>589820</v>
      </c>
      <c r="G9" s="823">
        <f>516012+58116+15692</f>
        <v>589820</v>
      </c>
      <c r="H9" s="39">
        <v>464425</v>
      </c>
      <c r="I9" s="39">
        <v>125395</v>
      </c>
      <c r="J9" s="1105">
        <f t="shared" si="1"/>
        <v>589820</v>
      </c>
      <c r="K9" s="1092"/>
      <c r="L9" s="463">
        <v>516012</v>
      </c>
      <c r="M9" s="823">
        <v>516012</v>
      </c>
      <c r="N9" s="823">
        <v>516012</v>
      </c>
      <c r="O9" s="685">
        <v>516012</v>
      </c>
      <c r="P9" s="685"/>
      <c r="Q9" s="685"/>
      <c r="R9" s="467"/>
      <c r="S9" s="463">
        <f t="shared" si="0"/>
        <v>0</v>
      </c>
      <c r="T9" s="823">
        <f t="shared" si="0"/>
        <v>73808</v>
      </c>
      <c r="U9" s="823">
        <f t="shared" si="0"/>
        <v>73808</v>
      </c>
      <c r="V9" s="823">
        <f t="shared" si="0"/>
        <v>73808</v>
      </c>
      <c r="W9" s="39"/>
      <c r="X9" s="823"/>
      <c r="Y9" s="467"/>
    </row>
    <row r="10" spans="1:25" ht="29.25" customHeight="1">
      <c r="A10" s="965">
        <v>6</v>
      </c>
      <c r="B10" s="1029" t="s">
        <v>572</v>
      </c>
      <c r="C10" s="461" t="s">
        <v>201</v>
      </c>
      <c r="D10" s="463">
        <v>45000000</v>
      </c>
      <c r="E10" s="823">
        <f>45000000-15963579-4310166</f>
        <v>24726255</v>
      </c>
      <c r="F10" s="823">
        <f>45000000-15963579-4310166</f>
        <v>24726255</v>
      </c>
      <c r="G10" s="823">
        <f>45000000-15963579-4310166</f>
        <v>24726255</v>
      </c>
      <c r="H10" s="39">
        <v>19469492</v>
      </c>
      <c r="I10" s="39">
        <v>5256763</v>
      </c>
      <c r="J10" s="1105">
        <f t="shared" si="1"/>
        <v>24726255</v>
      </c>
      <c r="K10" s="1092"/>
      <c r="L10" s="1108">
        <v>14998400</v>
      </c>
      <c r="M10" s="1030">
        <v>14998400</v>
      </c>
      <c r="N10" s="1030">
        <v>14998400</v>
      </c>
      <c r="O10" s="822">
        <f>+N10</f>
        <v>14998400</v>
      </c>
      <c r="P10" s="685"/>
      <c r="Q10" s="685"/>
      <c r="R10" s="467"/>
      <c r="S10" s="463">
        <f t="shared" si="0"/>
        <v>30001600</v>
      </c>
      <c r="T10" s="823">
        <f t="shared" si="0"/>
        <v>9727855</v>
      </c>
      <c r="U10" s="823">
        <f t="shared" si="0"/>
        <v>9727855</v>
      </c>
      <c r="V10" s="823">
        <f t="shared" si="0"/>
        <v>9727855</v>
      </c>
      <c r="W10" s="39"/>
      <c r="X10" s="823"/>
      <c r="Y10" s="467"/>
    </row>
    <row r="11" spans="1:25" ht="29.25" customHeight="1">
      <c r="A11" s="965">
        <v>7</v>
      </c>
      <c r="B11" s="774" t="s">
        <v>597</v>
      </c>
      <c r="C11" s="461" t="s">
        <v>201</v>
      </c>
      <c r="D11" s="464"/>
      <c r="E11" s="822">
        <f>16146730+60000+401280+16200+108346</f>
        <v>16732556</v>
      </c>
      <c r="F11" s="822">
        <f>16146730+60000+401280+16200+108346</f>
        <v>16732556</v>
      </c>
      <c r="G11" s="822">
        <f>16146730+60000+401280+16200+108346</f>
        <v>16732556</v>
      </c>
      <c r="H11" s="39">
        <v>16608010</v>
      </c>
      <c r="I11" s="39">
        <v>124546</v>
      </c>
      <c r="J11" s="1105">
        <f t="shared" si="1"/>
        <v>16732556</v>
      </c>
      <c r="K11" s="1092"/>
      <c r="L11" s="464"/>
      <c r="M11" s="822"/>
      <c r="N11" s="822"/>
      <c r="O11" s="822"/>
      <c r="P11" s="685"/>
      <c r="Q11" s="685"/>
      <c r="R11" s="467"/>
      <c r="S11" s="463">
        <f t="shared" si="0"/>
        <v>0</v>
      </c>
      <c r="T11" s="823">
        <f t="shared" si="0"/>
        <v>16732556</v>
      </c>
      <c r="U11" s="823">
        <f t="shared" si="0"/>
        <v>16732556</v>
      </c>
      <c r="V11" s="823">
        <f t="shared" si="0"/>
        <v>16732556</v>
      </c>
      <c r="W11" s="39"/>
      <c r="X11" s="823"/>
      <c r="Y11" s="467"/>
    </row>
    <row r="12" spans="1:25" ht="29.25" customHeight="1">
      <c r="A12" s="965">
        <v>8</v>
      </c>
      <c r="B12" s="774" t="s">
        <v>598</v>
      </c>
      <c r="C12" s="461" t="s">
        <v>201</v>
      </c>
      <c r="D12" s="464"/>
      <c r="E12" s="822">
        <f>243500+65745</f>
        <v>309245</v>
      </c>
      <c r="F12" s="822">
        <f>243500+65745</f>
        <v>309245</v>
      </c>
      <c r="G12" s="822">
        <f>243500+65745</f>
        <v>309245</v>
      </c>
      <c r="H12" s="39">
        <v>243500</v>
      </c>
      <c r="I12" s="39">
        <v>65745</v>
      </c>
      <c r="J12" s="1105">
        <f t="shared" si="1"/>
        <v>309245</v>
      </c>
      <c r="K12" s="1092"/>
      <c r="L12" s="464"/>
      <c r="M12" s="822"/>
      <c r="N12" s="822"/>
      <c r="O12" s="685"/>
      <c r="P12" s="685"/>
      <c r="Q12" s="685"/>
      <c r="R12" s="467"/>
      <c r="S12" s="463">
        <f t="shared" si="0"/>
        <v>0</v>
      </c>
      <c r="T12" s="823">
        <f t="shared" si="0"/>
        <v>309245</v>
      </c>
      <c r="U12" s="823">
        <f t="shared" si="0"/>
        <v>309245</v>
      </c>
      <c r="V12" s="823">
        <f t="shared" si="0"/>
        <v>309245</v>
      </c>
      <c r="W12" s="39"/>
      <c r="X12" s="823"/>
      <c r="Y12" s="467"/>
    </row>
    <row r="13" spans="1:25" ht="43.5" customHeight="1">
      <c r="A13" s="965">
        <v>9</v>
      </c>
      <c r="B13" s="774" t="s">
        <v>599</v>
      </c>
      <c r="C13" s="461" t="s">
        <v>201</v>
      </c>
      <c r="D13" s="464"/>
      <c r="E13" s="822">
        <f>149339+40321</f>
        <v>189660</v>
      </c>
      <c r="F13" s="822">
        <f>149339+40321</f>
        <v>189660</v>
      </c>
      <c r="G13" s="822">
        <f>149339+40321</f>
        <v>189660</v>
      </c>
      <c r="H13" s="39">
        <v>149339</v>
      </c>
      <c r="I13" s="39">
        <v>40321</v>
      </c>
      <c r="J13" s="1105">
        <f t="shared" si="1"/>
        <v>189660</v>
      </c>
      <c r="K13" s="1092"/>
      <c r="L13" s="464"/>
      <c r="M13" s="822"/>
      <c r="N13" s="822"/>
      <c r="O13" s="822"/>
      <c r="P13" s="39"/>
      <c r="Q13" s="774"/>
      <c r="R13" s="467"/>
      <c r="S13" s="463">
        <f t="shared" si="0"/>
        <v>0</v>
      </c>
      <c r="T13" s="823">
        <f t="shared" si="0"/>
        <v>189660</v>
      </c>
      <c r="U13" s="823">
        <f t="shared" si="0"/>
        <v>189660</v>
      </c>
      <c r="V13" s="823">
        <f t="shared" si="0"/>
        <v>189660</v>
      </c>
      <c r="W13" s="39"/>
      <c r="X13" s="823"/>
      <c r="Y13" s="467"/>
    </row>
    <row r="14" spans="1:25" ht="43.5" customHeight="1">
      <c r="A14" s="965">
        <v>10</v>
      </c>
      <c r="B14" s="774" t="s">
        <v>600</v>
      </c>
      <c r="C14" s="461" t="s">
        <v>201</v>
      </c>
      <c r="D14" s="465"/>
      <c r="E14" s="39">
        <v>750000</v>
      </c>
      <c r="F14" s="39">
        <v>750000</v>
      </c>
      <c r="G14" s="39">
        <v>750000</v>
      </c>
      <c r="H14" s="39">
        <v>750000</v>
      </c>
      <c r="I14" s="39"/>
      <c r="J14" s="1105">
        <f t="shared" si="1"/>
        <v>750000</v>
      </c>
      <c r="K14" s="1092"/>
      <c r="L14" s="469"/>
      <c r="M14" s="685"/>
      <c r="N14" s="685"/>
      <c r="O14" s="941"/>
      <c r="P14" s="685"/>
      <c r="Q14" s="685"/>
      <c r="R14" s="467"/>
      <c r="S14" s="469">
        <f t="shared" si="0"/>
        <v>0</v>
      </c>
      <c r="T14" s="823">
        <f t="shared" si="0"/>
        <v>750000</v>
      </c>
      <c r="U14" s="823">
        <f t="shared" si="0"/>
        <v>750000</v>
      </c>
      <c r="V14" s="823">
        <f t="shared" si="0"/>
        <v>750000</v>
      </c>
      <c r="W14" s="39">
        <f>55274+14924</f>
        <v>70198</v>
      </c>
      <c r="X14" s="823">
        <f aca="true" t="shared" si="2" ref="X14:X21">+I14-Q14</f>
        <v>0</v>
      </c>
      <c r="Y14" s="467"/>
    </row>
    <row r="15" spans="1:25" ht="43.5" customHeight="1">
      <c r="A15" s="965">
        <v>11</v>
      </c>
      <c r="B15" s="774" t="s">
        <v>602</v>
      </c>
      <c r="C15" s="461" t="s">
        <v>201</v>
      </c>
      <c r="D15" s="465"/>
      <c r="E15" s="39"/>
      <c r="F15" s="39">
        <f>3937000+1062990</f>
        <v>4999990</v>
      </c>
      <c r="G15" s="39">
        <f>3937000+1062990</f>
        <v>4999990</v>
      </c>
      <c r="H15" s="39"/>
      <c r="I15" s="39"/>
      <c r="J15" s="1117">
        <f t="shared" si="1"/>
        <v>0</v>
      </c>
      <c r="K15" s="1092"/>
      <c r="L15" s="465"/>
      <c r="M15" s="39"/>
      <c r="N15" s="39">
        <v>4999990</v>
      </c>
      <c r="O15" s="941">
        <f>+N15</f>
        <v>4999990</v>
      </c>
      <c r="P15" s="685"/>
      <c r="Q15" s="685"/>
      <c r="R15" s="467"/>
      <c r="S15" s="469"/>
      <c r="T15" s="823">
        <f t="shared" si="0"/>
        <v>0</v>
      </c>
      <c r="U15" s="823">
        <f t="shared" si="0"/>
        <v>0</v>
      </c>
      <c r="V15" s="823">
        <f t="shared" si="0"/>
        <v>0</v>
      </c>
      <c r="W15" s="39">
        <f>51181+13819</f>
        <v>65000</v>
      </c>
      <c r="X15" s="823">
        <f t="shared" si="2"/>
        <v>0</v>
      </c>
      <c r="Y15" s="467"/>
    </row>
    <row r="16" spans="1:25" ht="43.5" customHeight="1">
      <c r="A16" s="965">
        <v>12</v>
      </c>
      <c r="B16" s="1029" t="s">
        <v>613</v>
      </c>
      <c r="C16" s="461" t="s">
        <v>201</v>
      </c>
      <c r="D16" s="465"/>
      <c r="E16" s="39"/>
      <c r="F16" s="39">
        <f>1923143+519248</f>
        <v>2442391</v>
      </c>
      <c r="G16" s="39">
        <f>1923143+519248</f>
        <v>2442391</v>
      </c>
      <c r="H16" s="39">
        <v>232283</v>
      </c>
      <c r="I16" s="39">
        <v>62717</v>
      </c>
      <c r="J16" s="1105">
        <f t="shared" si="1"/>
        <v>295000</v>
      </c>
      <c r="K16" s="1092"/>
      <c r="L16" s="465"/>
      <c r="M16" s="39"/>
      <c r="N16" s="39">
        <v>2442391</v>
      </c>
      <c r="O16" s="941">
        <f>+N16</f>
        <v>2442391</v>
      </c>
      <c r="P16" s="685"/>
      <c r="Q16" s="685"/>
      <c r="R16" s="467"/>
      <c r="S16" s="469"/>
      <c r="T16" s="823">
        <f t="shared" si="0"/>
        <v>0</v>
      </c>
      <c r="U16" s="823">
        <f t="shared" si="0"/>
        <v>0</v>
      </c>
      <c r="V16" s="823">
        <f t="shared" si="0"/>
        <v>0</v>
      </c>
      <c r="W16" s="39"/>
      <c r="X16" s="823">
        <f t="shared" si="2"/>
        <v>62717</v>
      </c>
      <c r="Y16" s="467"/>
    </row>
    <row r="17" spans="1:25" ht="43.5" customHeight="1">
      <c r="A17" s="965">
        <v>13</v>
      </c>
      <c r="B17" s="1029" t="s">
        <v>633</v>
      </c>
      <c r="C17" s="461" t="s">
        <v>201</v>
      </c>
      <c r="D17" s="465"/>
      <c r="E17" s="39"/>
      <c r="F17" s="39"/>
      <c r="G17" s="39">
        <v>342608</v>
      </c>
      <c r="H17" s="39">
        <v>269770</v>
      </c>
      <c r="I17" s="39">
        <v>72838</v>
      </c>
      <c r="J17" s="1105">
        <f t="shared" si="1"/>
        <v>342608</v>
      </c>
      <c r="K17" s="1092"/>
      <c r="L17" s="465"/>
      <c r="M17" s="39"/>
      <c r="N17" s="39"/>
      <c r="O17" s="941"/>
      <c r="P17" s="685"/>
      <c r="Q17" s="685"/>
      <c r="R17" s="467"/>
      <c r="S17" s="469"/>
      <c r="T17" s="685"/>
      <c r="U17" s="685"/>
      <c r="V17" s="823">
        <f>+G17-O17</f>
        <v>342608</v>
      </c>
      <c r="W17" s="39"/>
      <c r="X17" s="823">
        <f t="shared" si="2"/>
        <v>72838</v>
      </c>
      <c r="Y17" s="467"/>
    </row>
    <row r="18" spans="1:25" ht="43.5" customHeight="1">
      <c r="A18" s="965">
        <v>14</v>
      </c>
      <c r="B18" s="1032" t="s">
        <v>574</v>
      </c>
      <c r="C18" s="461" t="s">
        <v>201</v>
      </c>
      <c r="D18" s="465"/>
      <c r="E18" s="39"/>
      <c r="F18" s="39"/>
      <c r="G18" s="1106">
        <f>14850+1488134+55000+5511533</f>
        <v>7069517</v>
      </c>
      <c r="H18" s="39">
        <v>5561533</v>
      </c>
      <c r="I18" s="39">
        <v>1501614</v>
      </c>
      <c r="J18" s="1105">
        <f>+H18+I18</f>
        <v>7063147</v>
      </c>
      <c r="K18" s="1092"/>
      <c r="L18" s="465"/>
      <c r="M18" s="39"/>
      <c r="N18" s="39"/>
      <c r="O18" s="1104">
        <f>50000+13500+3661417+988582+70000+18900</f>
        <v>4802399</v>
      </c>
      <c r="P18" s="685"/>
      <c r="Q18" s="685"/>
      <c r="R18" s="467"/>
      <c r="S18" s="469"/>
      <c r="T18" s="685"/>
      <c r="U18" s="685"/>
      <c r="V18" s="823">
        <f>+G18-O18</f>
        <v>2267118</v>
      </c>
      <c r="W18" s="39"/>
      <c r="X18" s="823"/>
      <c r="Y18" s="467"/>
    </row>
    <row r="19" spans="1:25" ht="43.5" customHeight="1" thickBot="1">
      <c r="A19" s="965">
        <v>16</v>
      </c>
      <c r="B19" s="774" t="s">
        <v>625</v>
      </c>
      <c r="C19" s="461" t="s">
        <v>201</v>
      </c>
      <c r="D19" s="465"/>
      <c r="E19" s="39"/>
      <c r="F19" s="39"/>
      <c r="G19" s="1106">
        <f>3000000+810000+1484200+400734</f>
        <v>5694934</v>
      </c>
      <c r="H19" s="39"/>
      <c r="I19" s="39"/>
      <c r="J19" s="1105">
        <f t="shared" si="1"/>
        <v>0</v>
      </c>
      <c r="K19" s="1092"/>
      <c r="L19" s="469"/>
      <c r="M19" s="685"/>
      <c r="N19" s="685"/>
      <c r="O19" s="941">
        <v>2887467</v>
      </c>
      <c r="P19" s="685"/>
      <c r="Q19" s="685"/>
      <c r="R19" s="467"/>
      <c r="S19" s="469"/>
      <c r="T19" s="685"/>
      <c r="U19" s="685"/>
      <c r="V19" s="823">
        <f>+G19-O19</f>
        <v>2807467</v>
      </c>
      <c r="W19" s="39"/>
      <c r="X19" s="823"/>
      <c r="Y19" s="467"/>
    </row>
    <row r="20" spans="1:25" ht="43.5" customHeight="1" hidden="1">
      <c r="A20" s="965"/>
      <c r="B20" s="774"/>
      <c r="C20" s="966"/>
      <c r="D20" s="465"/>
      <c r="E20" s="39"/>
      <c r="F20" s="39"/>
      <c r="G20" s="39"/>
      <c r="H20" s="39"/>
      <c r="I20" s="39"/>
      <c r="J20" s="1105"/>
      <c r="K20" s="1092"/>
      <c r="L20" s="469"/>
      <c r="M20" s="685"/>
      <c r="N20" s="685"/>
      <c r="O20" s="941"/>
      <c r="P20" s="685"/>
      <c r="Q20" s="685"/>
      <c r="R20" s="467"/>
      <c r="S20" s="469"/>
      <c r="T20" s="685"/>
      <c r="U20" s="685"/>
      <c r="V20" s="39"/>
      <c r="W20" s="39"/>
      <c r="X20" s="823"/>
      <c r="Y20" s="467"/>
    </row>
    <row r="21" spans="1:25" ht="29.25" customHeight="1" hidden="1" thickBot="1">
      <c r="A21" s="965"/>
      <c r="B21" s="47"/>
      <c r="C21" s="966" t="s">
        <v>201</v>
      </c>
      <c r="D21" s="465"/>
      <c r="E21" s="39"/>
      <c r="F21" s="39"/>
      <c r="G21" s="39"/>
      <c r="H21" s="39"/>
      <c r="I21" s="39"/>
      <c r="J21" s="1107"/>
      <c r="K21" s="1093"/>
      <c r="L21" s="469"/>
      <c r="M21" s="685"/>
      <c r="N21" s="685"/>
      <c r="O21" s="939"/>
      <c r="P21" s="685"/>
      <c r="Q21" s="685"/>
      <c r="R21" s="467" t="e">
        <f>O21/M21</f>
        <v>#DIV/0!</v>
      </c>
      <c r="S21" s="469"/>
      <c r="T21" s="685"/>
      <c r="U21" s="685"/>
      <c r="V21" s="39">
        <f>G21-O21</f>
        <v>0</v>
      </c>
      <c r="W21" s="39"/>
      <c r="X21" s="823">
        <f t="shared" si="2"/>
        <v>0</v>
      </c>
      <c r="Y21" s="467" t="e">
        <f>V21/T21</f>
        <v>#DIV/0!</v>
      </c>
    </row>
    <row r="22" spans="1:26" ht="31.5" customHeight="1" thickBot="1">
      <c r="A22" s="1396" t="s">
        <v>1</v>
      </c>
      <c r="B22" s="1401"/>
      <c r="C22" s="957"/>
      <c r="D22" s="466">
        <f>SUM(D5:D18)</f>
        <v>60716012</v>
      </c>
      <c r="E22" s="683">
        <f>SUM(E5:E18)</f>
        <v>58497536</v>
      </c>
      <c r="F22" s="683">
        <f>SUM(F5:F18)</f>
        <v>65939917</v>
      </c>
      <c r="G22" s="683">
        <f>SUM(G5:G21)</f>
        <v>79046976</v>
      </c>
      <c r="H22" s="683">
        <f>SUM(H5:H21)</f>
        <v>46347463</v>
      </c>
      <c r="I22" s="683">
        <f>SUM(I5:I21)</f>
        <v>7951699</v>
      </c>
      <c r="J22" s="1102">
        <f>SUM(J5:J21)</f>
        <v>54299162</v>
      </c>
      <c r="K22" s="1094"/>
      <c r="L22" s="466">
        <f aca="true" t="shared" si="3" ref="L22:Q22">SUM(L5:L21)</f>
        <v>15514412</v>
      </c>
      <c r="M22" s="683">
        <f>SUM(M5:M21)</f>
        <v>15514412</v>
      </c>
      <c r="N22" s="683">
        <f>SUM(N5:N21)</f>
        <v>22956793</v>
      </c>
      <c r="O22" s="683">
        <f t="shared" si="3"/>
        <v>30646659</v>
      </c>
      <c r="P22" s="683">
        <f t="shared" si="3"/>
        <v>0</v>
      </c>
      <c r="Q22" s="683">
        <f t="shared" si="3"/>
        <v>0</v>
      </c>
      <c r="R22" s="684">
        <f>P22/O22</f>
        <v>0</v>
      </c>
      <c r="S22" s="466">
        <f aca="true" t="shared" si="4" ref="S22:X22">SUM(S5:S21)</f>
        <v>45201600</v>
      </c>
      <c r="T22" s="683">
        <f t="shared" si="4"/>
        <v>42983124</v>
      </c>
      <c r="U22" s="683">
        <f>SUM(U5:U21)</f>
        <v>42983124</v>
      </c>
      <c r="V22" s="683">
        <f t="shared" si="4"/>
        <v>48400317</v>
      </c>
      <c r="W22" s="683">
        <f t="shared" si="4"/>
        <v>135198</v>
      </c>
      <c r="X22" s="683">
        <f t="shared" si="4"/>
        <v>135555</v>
      </c>
      <c r="Y22" s="684">
        <f>W22/V22</f>
        <v>0.002793328812288564</v>
      </c>
      <c r="Z22" s="968"/>
    </row>
    <row r="23" spans="1:26" ht="15.75">
      <c r="A23" s="951"/>
      <c r="B23" s="951"/>
      <c r="C23" s="967"/>
      <c r="D23" s="862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U23" s="968"/>
      <c r="X23" s="968"/>
      <c r="Z23" s="968"/>
    </row>
    <row r="24" spans="1:24" ht="15.75">
      <c r="A24" s="951"/>
      <c r="B24" s="954"/>
      <c r="C24" s="967"/>
      <c r="D24" s="969" t="str">
        <f>IF(L22+S22=D22," ","HIBA-NEM EGYENLŐ")</f>
        <v> 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U24" s="968"/>
      <c r="V24" s="968"/>
      <c r="X24" s="968"/>
    </row>
    <row r="25" spans="1:20" ht="14.25">
      <c r="A25" s="1402" t="s">
        <v>57</v>
      </c>
      <c r="B25" s="1402"/>
      <c r="C25" s="1402"/>
      <c r="D25" s="1402"/>
      <c r="E25" s="1402"/>
      <c r="F25" s="1402"/>
      <c r="G25" s="1402"/>
      <c r="H25" s="1402"/>
      <c r="I25" s="1402"/>
      <c r="J25" s="1402"/>
      <c r="K25" s="1402"/>
      <c r="L25" s="1402"/>
      <c r="M25" s="1402"/>
      <c r="N25" s="1402"/>
      <c r="O25" s="1402"/>
      <c r="P25" s="1402"/>
      <c r="Q25" s="1402"/>
      <c r="R25" s="1402"/>
      <c r="S25" s="1402"/>
      <c r="T25" s="1402"/>
    </row>
    <row r="26" spans="1:19" ht="13.5" thickBot="1">
      <c r="A26" s="970"/>
      <c r="B26" s="970"/>
      <c r="D26" s="970"/>
      <c r="E26" s="970"/>
      <c r="F26" s="970"/>
      <c r="G26" s="970"/>
      <c r="H26" s="970"/>
      <c r="I26" s="970"/>
      <c r="J26" s="970"/>
      <c r="K26" s="970"/>
      <c r="L26" s="970"/>
      <c r="M26" s="970"/>
      <c r="N26" s="970"/>
      <c r="O26" s="970"/>
      <c r="P26" s="970"/>
      <c r="Q26" s="970"/>
      <c r="R26" s="970"/>
      <c r="S26" s="970"/>
    </row>
    <row r="27" spans="1:25" ht="29.25" customHeight="1" thickBot="1">
      <c r="A27" s="955" t="s">
        <v>5</v>
      </c>
      <c r="B27" s="956" t="s">
        <v>29</v>
      </c>
      <c r="C27" s="957" t="s">
        <v>251</v>
      </c>
      <c r="D27" s="1398" t="s">
        <v>4</v>
      </c>
      <c r="E27" s="1399"/>
      <c r="F27" s="1399"/>
      <c r="G27" s="1399"/>
      <c r="H27" s="1399"/>
      <c r="I27" s="1399"/>
      <c r="J27" s="1400"/>
      <c r="K27" s="1005"/>
      <c r="L27" s="1393" t="s">
        <v>252</v>
      </c>
      <c r="M27" s="1394"/>
      <c r="N27" s="1394"/>
      <c r="O27" s="1394"/>
      <c r="P27" s="1394"/>
      <c r="Q27" s="1394"/>
      <c r="R27" s="1395"/>
      <c r="S27" s="1393" t="s">
        <v>25</v>
      </c>
      <c r="T27" s="1394"/>
      <c r="U27" s="1394"/>
      <c r="V27" s="1394"/>
      <c r="W27" s="1394"/>
      <c r="X27" s="1394"/>
      <c r="Y27" s="1395"/>
    </row>
    <row r="28" spans="1:25" ht="28.5" customHeight="1" thickBot="1">
      <c r="A28" s="971"/>
      <c r="B28" s="972"/>
      <c r="C28" s="973"/>
      <c r="D28" s="961" t="s">
        <v>62</v>
      </c>
      <c r="E28" s="962" t="s">
        <v>215</v>
      </c>
      <c r="F28" s="962" t="s">
        <v>218</v>
      </c>
      <c r="G28" s="963" t="s">
        <v>220</v>
      </c>
      <c r="H28" s="963" t="s">
        <v>542</v>
      </c>
      <c r="I28" s="963" t="s">
        <v>543</v>
      </c>
      <c r="J28" s="964" t="s">
        <v>224</v>
      </c>
      <c r="K28" s="1006"/>
      <c r="L28" s="961" t="s">
        <v>62</v>
      </c>
      <c r="M28" s="962" t="s">
        <v>215</v>
      </c>
      <c r="N28" s="962" t="s">
        <v>218</v>
      </c>
      <c r="O28" s="963" t="s">
        <v>220</v>
      </c>
      <c r="P28" s="963" t="s">
        <v>232</v>
      </c>
      <c r="Q28" s="963" t="s">
        <v>237</v>
      </c>
      <c r="R28" s="964" t="s">
        <v>224</v>
      </c>
      <c r="S28" s="961" t="s">
        <v>62</v>
      </c>
      <c r="T28" s="962" t="s">
        <v>215</v>
      </c>
      <c r="U28" s="962" t="s">
        <v>218</v>
      </c>
      <c r="V28" s="963" t="s">
        <v>220</v>
      </c>
      <c r="W28" s="963" t="s">
        <v>232</v>
      </c>
      <c r="X28" s="963" t="s">
        <v>237</v>
      </c>
      <c r="Y28" s="964" t="s">
        <v>224</v>
      </c>
    </row>
    <row r="29" spans="1:26" ht="29.25" customHeight="1" thickBot="1">
      <c r="A29" s="974">
        <v>1</v>
      </c>
      <c r="B29" s="1031" t="s">
        <v>573</v>
      </c>
      <c r="C29" s="966" t="s">
        <v>201</v>
      </c>
      <c r="D29" s="464">
        <v>88570024</v>
      </c>
      <c r="E29" s="822">
        <f>88570024+3872379+1045542</f>
        <v>93487945</v>
      </c>
      <c r="F29" s="822">
        <f>88570024+3872379+1045542+989135+267066</f>
        <v>94744146</v>
      </c>
      <c r="G29" s="822">
        <f>88570024+3872379+1045542+989135+267066</f>
        <v>94744146</v>
      </c>
      <c r="H29" s="1097">
        <v>73893029</v>
      </c>
      <c r="I29" s="1097">
        <v>19951117</v>
      </c>
      <c r="J29" s="1105">
        <f aca="true" t="shared" si="5" ref="J29:J36">+H29+I29</f>
        <v>93844146</v>
      </c>
      <c r="K29" s="1095">
        <f>+J29-G29</f>
        <v>-900000</v>
      </c>
      <c r="L29" s="1034">
        <v>76185600</v>
      </c>
      <c r="M29" s="1103">
        <v>76185600</v>
      </c>
      <c r="N29" s="1103">
        <v>76185600</v>
      </c>
      <c r="O29" s="1103">
        <v>76185601</v>
      </c>
      <c r="P29" s="975"/>
      <c r="Q29" s="975"/>
      <c r="R29" s="467"/>
      <c r="S29" s="464">
        <f aca="true" t="shared" si="6" ref="S29:U38">+D29-L29</f>
        <v>12384424</v>
      </c>
      <c r="T29" s="822">
        <f t="shared" si="6"/>
        <v>17302345</v>
      </c>
      <c r="U29" s="822">
        <f t="shared" si="6"/>
        <v>18558546</v>
      </c>
      <c r="V29" s="822">
        <f aca="true" t="shared" si="7" ref="V29:X39">G29-O29</f>
        <v>18558545</v>
      </c>
      <c r="W29" s="822">
        <f t="shared" si="7"/>
        <v>73893029</v>
      </c>
      <c r="X29" s="822">
        <f t="shared" si="7"/>
        <v>19951117</v>
      </c>
      <c r="Y29" s="467">
        <f>W29/V29</f>
        <v>3.981617578317697</v>
      </c>
      <c r="Z29" s="968"/>
    </row>
    <row r="30" spans="1:26" ht="29.25" customHeight="1" thickBot="1">
      <c r="A30" s="965">
        <v>2</v>
      </c>
      <c r="B30" s="1032" t="s">
        <v>596</v>
      </c>
      <c r="C30" s="966" t="s">
        <v>201</v>
      </c>
      <c r="D30" s="464">
        <v>73981400</v>
      </c>
      <c r="E30" s="822">
        <f>73981400-4359617-16146730+2136461+576845+430000+116100</f>
        <v>56734459</v>
      </c>
      <c r="F30" s="822">
        <f>73981400-4359617-16146730+2136461+576845+430000+116100</f>
        <v>56734459</v>
      </c>
      <c r="G30" s="822">
        <f>73981400-4359617-16146730+2136461+576845+430000+116100</f>
        <v>56734459</v>
      </c>
      <c r="H30" s="1098">
        <f>44672802</f>
        <v>44672802</v>
      </c>
      <c r="I30" s="1098">
        <v>12061657</v>
      </c>
      <c r="J30" s="1105">
        <f t="shared" si="5"/>
        <v>56734459</v>
      </c>
      <c r="K30" s="1095">
        <f>+J30-G30</f>
        <v>0</v>
      </c>
      <c r="L30" s="1033">
        <f>5929200+21960000+116100+430000+116100</f>
        <v>28551400</v>
      </c>
      <c r="M30" s="1104">
        <f>5929200+21960000+116100+430000+116100</f>
        <v>28551400</v>
      </c>
      <c r="N30" s="1104">
        <f>5929200+21960000+116100+430000+116100</f>
        <v>28551400</v>
      </c>
      <c r="O30" s="1104">
        <f>5929200+21960000+116100+430000+116100</f>
        <v>28551400</v>
      </c>
      <c r="P30" s="685"/>
      <c r="Q30" s="685"/>
      <c r="R30" s="467"/>
      <c r="S30" s="464">
        <f t="shared" si="6"/>
        <v>45430000</v>
      </c>
      <c r="T30" s="822">
        <f t="shared" si="6"/>
        <v>28183059</v>
      </c>
      <c r="U30" s="822">
        <f t="shared" si="6"/>
        <v>28183059</v>
      </c>
      <c r="V30" s="822">
        <f t="shared" si="7"/>
        <v>28183059</v>
      </c>
      <c r="W30" s="822">
        <f t="shared" si="7"/>
        <v>44672802</v>
      </c>
      <c r="X30" s="822">
        <f t="shared" si="7"/>
        <v>12061657</v>
      </c>
      <c r="Y30" s="467">
        <f>W30/V30</f>
        <v>1.5850941517739434</v>
      </c>
      <c r="Z30" s="968"/>
    </row>
    <row r="31" spans="1:25" ht="29.25" customHeight="1" thickBot="1">
      <c r="A31" s="965">
        <v>3</v>
      </c>
      <c r="B31" s="1032" t="s">
        <v>574</v>
      </c>
      <c r="C31" s="966" t="s">
        <v>201</v>
      </c>
      <c r="D31" s="464">
        <v>5713499</v>
      </c>
      <c r="E31" s="822">
        <v>5713499</v>
      </c>
      <c r="F31" s="822">
        <f>5713499+1012714+273433</f>
        <v>6999646</v>
      </c>
      <c r="G31" s="822">
        <f>+F31-(5511533+1488134)+21</f>
        <v>0</v>
      </c>
      <c r="H31" s="39"/>
      <c r="I31" s="39"/>
      <c r="J31" s="1105">
        <f t="shared" si="5"/>
        <v>0</v>
      </c>
      <c r="K31" s="1095">
        <f aca="true" t="shared" si="8" ref="K31:K40">+J31-G31</f>
        <v>0</v>
      </c>
      <c r="L31" s="1033">
        <f>50000+13500+3661417+988582+70000+18900</f>
        <v>4802399</v>
      </c>
      <c r="M31" s="1104">
        <f>50000+13500+3661417+988582+70000+18900</f>
        <v>4802399</v>
      </c>
      <c r="N31" s="1104">
        <f>50000+13500+3661417+988582+70000+18900</f>
        <v>4802399</v>
      </c>
      <c r="O31" s="1104">
        <v>0</v>
      </c>
      <c r="P31" s="685"/>
      <c r="Q31" s="685"/>
      <c r="R31" s="467"/>
      <c r="S31" s="464">
        <f t="shared" si="6"/>
        <v>911100</v>
      </c>
      <c r="T31" s="822">
        <f t="shared" si="6"/>
        <v>911100</v>
      </c>
      <c r="U31" s="822">
        <f t="shared" si="6"/>
        <v>2197247</v>
      </c>
      <c r="V31" s="822">
        <f t="shared" si="7"/>
        <v>0</v>
      </c>
      <c r="W31" s="822">
        <f t="shared" si="7"/>
        <v>0</v>
      </c>
      <c r="X31" s="822">
        <f t="shared" si="7"/>
        <v>0</v>
      </c>
      <c r="Y31" s="467" t="e">
        <f>W31/V31</f>
        <v>#DIV/0!</v>
      </c>
    </row>
    <row r="32" spans="1:25" ht="29.25" customHeight="1" thickBot="1">
      <c r="A32" s="965">
        <v>4</v>
      </c>
      <c r="B32" s="942" t="s">
        <v>575</v>
      </c>
      <c r="C32" s="462" t="s">
        <v>201</v>
      </c>
      <c r="D32" s="464">
        <v>26000000</v>
      </c>
      <c r="E32" s="822">
        <v>26000000</v>
      </c>
      <c r="F32" s="822">
        <v>26000000</v>
      </c>
      <c r="G32" s="822">
        <v>26000000</v>
      </c>
      <c r="H32" s="1100">
        <v>19817248</v>
      </c>
      <c r="I32" s="1101">
        <v>5350657</v>
      </c>
      <c r="J32" s="1105">
        <f t="shared" si="5"/>
        <v>25167905</v>
      </c>
      <c r="K32" s="1095">
        <f t="shared" si="8"/>
        <v>-832095</v>
      </c>
      <c r="L32" s="469"/>
      <c r="M32" s="685"/>
      <c r="N32" s="685"/>
      <c r="O32" s="685">
        <v>15000000</v>
      </c>
      <c r="P32" s="685"/>
      <c r="Q32" s="685"/>
      <c r="R32" s="467"/>
      <c r="S32" s="464">
        <f t="shared" si="6"/>
        <v>26000000</v>
      </c>
      <c r="T32" s="822">
        <f t="shared" si="6"/>
        <v>26000000</v>
      </c>
      <c r="U32" s="822">
        <f t="shared" si="6"/>
        <v>26000000</v>
      </c>
      <c r="V32" s="822">
        <f t="shared" si="7"/>
        <v>11000000</v>
      </c>
      <c r="W32" s="822">
        <f t="shared" si="7"/>
        <v>19817248</v>
      </c>
      <c r="X32" s="822">
        <f t="shared" si="7"/>
        <v>5350657</v>
      </c>
      <c r="Y32" s="467">
        <f>W32/V32</f>
        <v>1.801568</v>
      </c>
    </row>
    <row r="33" spans="1:25" ht="48.75" customHeight="1" thickBot="1">
      <c r="A33" s="965">
        <v>5</v>
      </c>
      <c r="B33" s="942" t="s">
        <v>503</v>
      </c>
      <c r="C33" s="462" t="s">
        <v>200</v>
      </c>
      <c r="D33" s="464">
        <v>2066507</v>
      </c>
      <c r="E33" s="822">
        <f>2066507+126078+34041</f>
        <v>2226626</v>
      </c>
      <c r="F33" s="822">
        <f>2066507+126078+34041</f>
        <v>2226626</v>
      </c>
      <c r="G33" s="822">
        <f>2066507+126078+34041</f>
        <v>2226626</v>
      </c>
      <c r="H33" s="1100">
        <v>1753249</v>
      </c>
      <c r="I33" s="1101">
        <v>473377</v>
      </c>
      <c r="J33" s="1105">
        <f t="shared" si="5"/>
        <v>2226626</v>
      </c>
      <c r="K33" s="1095">
        <f t="shared" si="8"/>
        <v>0</v>
      </c>
      <c r="L33" s="468">
        <v>2066507</v>
      </c>
      <c r="M33" s="821">
        <v>2066507</v>
      </c>
      <c r="N33" s="821">
        <v>2066507</v>
      </c>
      <c r="O33" s="821">
        <v>2066507</v>
      </c>
      <c r="P33" s="821"/>
      <c r="Q33" s="821"/>
      <c r="R33" s="467"/>
      <c r="S33" s="464">
        <f t="shared" si="6"/>
        <v>0</v>
      </c>
      <c r="T33" s="822">
        <f t="shared" si="6"/>
        <v>160119</v>
      </c>
      <c r="U33" s="822">
        <f t="shared" si="6"/>
        <v>160119</v>
      </c>
      <c r="V33" s="822">
        <f t="shared" si="7"/>
        <v>160119</v>
      </c>
      <c r="W33" s="822"/>
      <c r="X33" s="822">
        <f>I33-Q33</f>
        <v>473377</v>
      </c>
      <c r="Y33" s="467">
        <f>V33/T33</f>
        <v>1</v>
      </c>
    </row>
    <row r="34" spans="1:25" ht="28.5" customHeight="1" thickBot="1">
      <c r="A34" s="965">
        <v>6</v>
      </c>
      <c r="B34" s="942" t="s">
        <v>632</v>
      </c>
      <c r="C34" s="966" t="s">
        <v>201</v>
      </c>
      <c r="D34" s="464"/>
      <c r="E34" s="822">
        <v>130000</v>
      </c>
      <c r="F34" s="822">
        <v>130000</v>
      </c>
      <c r="G34" s="822">
        <v>130000</v>
      </c>
      <c r="H34" s="1100">
        <v>130000</v>
      </c>
      <c r="I34" s="1101"/>
      <c r="J34" s="1105">
        <f t="shared" si="5"/>
        <v>130000</v>
      </c>
      <c r="K34" s="1095">
        <f t="shared" si="8"/>
        <v>0</v>
      </c>
      <c r="L34" s="468"/>
      <c r="M34" s="821"/>
      <c r="N34" s="821"/>
      <c r="O34" s="821"/>
      <c r="P34" s="821"/>
      <c r="Q34" s="821"/>
      <c r="R34" s="467"/>
      <c r="S34" s="464">
        <f t="shared" si="6"/>
        <v>0</v>
      </c>
      <c r="T34" s="822">
        <f t="shared" si="6"/>
        <v>130000</v>
      </c>
      <c r="U34" s="822">
        <f t="shared" si="6"/>
        <v>130000</v>
      </c>
      <c r="V34" s="822">
        <f t="shared" si="7"/>
        <v>130000</v>
      </c>
      <c r="W34" s="822">
        <f>1891455+510693</f>
        <v>2402148</v>
      </c>
      <c r="X34" s="822">
        <f>I34-Q34</f>
        <v>0</v>
      </c>
      <c r="Y34" s="467"/>
    </row>
    <row r="35" spans="1:25" ht="28.5" customHeight="1" thickBot="1">
      <c r="A35" s="965">
        <v>7</v>
      </c>
      <c r="B35" s="942" t="s">
        <v>631</v>
      </c>
      <c r="C35" s="966" t="s">
        <v>201</v>
      </c>
      <c r="D35" s="464"/>
      <c r="E35" s="822">
        <f>785000+211950</f>
        <v>996950</v>
      </c>
      <c r="F35" s="822">
        <f>785000+211950</f>
        <v>996950</v>
      </c>
      <c r="G35" s="822">
        <f>785000+211950+29999999</f>
        <v>30996949</v>
      </c>
      <c r="H35" s="1100">
        <v>785000</v>
      </c>
      <c r="I35" s="1101">
        <v>211950</v>
      </c>
      <c r="J35" s="1105">
        <f t="shared" si="5"/>
        <v>996950</v>
      </c>
      <c r="K35" s="1095">
        <f t="shared" si="8"/>
        <v>-29999999</v>
      </c>
      <c r="L35" s="468"/>
      <c r="M35" s="821"/>
      <c r="N35" s="821"/>
      <c r="O35" s="821">
        <v>30000000</v>
      </c>
      <c r="P35" s="821"/>
      <c r="Q35" s="821"/>
      <c r="R35" s="467"/>
      <c r="S35" s="464">
        <f t="shared" si="6"/>
        <v>0</v>
      </c>
      <c r="T35" s="822">
        <f t="shared" si="6"/>
        <v>996950</v>
      </c>
      <c r="U35" s="822">
        <f t="shared" si="6"/>
        <v>996950</v>
      </c>
      <c r="V35" s="822">
        <f t="shared" si="7"/>
        <v>996949</v>
      </c>
      <c r="W35" s="822"/>
      <c r="X35" s="822">
        <f>I35-Q35</f>
        <v>211950</v>
      </c>
      <c r="Y35" s="467"/>
    </row>
    <row r="36" spans="1:25" ht="48.75" customHeight="1" thickBot="1">
      <c r="A36" s="965">
        <v>8</v>
      </c>
      <c r="B36" s="942" t="s">
        <v>630</v>
      </c>
      <c r="C36" s="966" t="s">
        <v>201</v>
      </c>
      <c r="D36" s="464"/>
      <c r="E36" s="822"/>
      <c r="F36" s="822"/>
      <c r="G36" s="822">
        <v>5100000</v>
      </c>
      <c r="H36" s="1118">
        <f>100000</f>
        <v>100000</v>
      </c>
      <c r="I36" s="1119"/>
      <c r="J36" s="1117">
        <f t="shared" si="5"/>
        <v>100000</v>
      </c>
      <c r="K36" s="1095">
        <f t="shared" si="8"/>
        <v>-5000000</v>
      </c>
      <c r="L36" s="468"/>
      <c r="M36" s="821"/>
      <c r="N36" s="821"/>
      <c r="O36" s="821">
        <v>5000000</v>
      </c>
      <c r="P36" s="821"/>
      <c r="Q36" s="821"/>
      <c r="R36" s="467"/>
      <c r="S36" s="464">
        <f t="shared" si="6"/>
        <v>0</v>
      </c>
      <c r="T36" s="821"/>
      <c r="U36" s="821"/>
      <c r="V36" s="822">
        <f t="shared" si="7"/>
        <v>100000</v>
      </c>
      <c r="W36" s="822"/>
      <c r="X36" s="822">
        <f>I36-Q36</f>
        <v>0</v>
      </c>
      <c r="Y36" s="467"/>
    </row>
    <row r="37" spans="1:25" ht="48.75" customHeight="1" hidden="1" thickBot="1">
      <c r="A37" s="965">
        <v>9</v>
      </c>
      <c r="B37" s="942"/>
      <c r="C37" s="966" t="s">
        <v>201</v>
      </c>
      <c r="D37" s="464"/>
      <c r="E37" s="822"/>
      <c r="F37" s="822"/>
      <c r="G37" s="822"/>
      <c r="H37" s="1100"/>
      <c r="I37" s="1101"/>
      <c r="J37" s="1099"/>
      <c r="K37" s="1095">
        <f t="shared" si="8"/>
        <v>0</v>
      </c>
      <c r="L37" s="468"/>
      <c r="M37" s="821"/>
      <c r="N37" s="821"/>
      <c r="O37" s="821"/>
      <c r="P37" s="821"/>
      <c r="Q37" s="821"/>
      <c r="R37" s="467"/>
      <c r="S37" s="464">
        <f t="shared" si="6"/>
        <v>0</v>
      </c>
      <c r="T37" s="821"/>
      <c r="U37" s="821"/>
      <c r="V37" s="822">
        <f t="shared" si="7"/>
        <v>0</v>
      </c>
      <c r="W37" s="822"/>
      <c r="X37" s="822"/>
      <c r="Y37" s="467"/>
    </row>
    <row r="38" spans="1:25" ht="48.75" customHeight="1" hidden="1" thickBot="1">
      <c r="A38" s="965">
        <v>10</v>
      </c>
      <c r="B38" s="942"/>
      <c r="C38" s="966" t="s">
        <v>201</v>
      </c>
      <c r="D38" s="464"/>
      <c r="E38" s="822"/>
      <c r="F38" s="822"/>
      <c r="G38" s="822"/>
      <c r="H38" s="1100"/>
      <c r="I38" s="1101"/>
      <c r="J38" s="1099"/>
      <c r="K38" s="1095">
        <f t="shared" si="8"/>
        <v>0</v>
      </c>
      <c r="L38" s="468"/>
      <c r="M38" s="821"/>
      <c r="N38" s="821"/>
      <c r="O38" s="821"/>
      <c r="P38" s="821"/>
      <c r="Q38" s="821"/>
      <c r="R38" s="467"/>
      <c r="S38" s="464">
        <f t="shared" si="6"/>
        <v>0</v>
      </c>
      <c r="T38" s="821"/>
      <c r="U38" s="821"/>
      <c r="V38" s="822">
        <f t="shared" si="7"/>
        <v>0</v>
      </c>
      <c r="W38" s="822"/>
      <c r="X38" s="822"/>
      <c r="Y38" s="467"/>
    </row>
    <row r="39" spans="1:25" ht="48.75" customHeight="1" hidden="1" thickBot="1">
      <c r="A39" s="976">
        <v>15</v>
      </c>
      <c r="B39" s="942"/>
      <c r="C39" s="462"/>
      <c r="D39" s="464"/>
      <c r="E39" s="822"/>
      <c r="F39" s="822"/>
      <c r="G39" s="822"/>
      <c r="H39" s="1100"/>
      <c r="I39" s="1101"/>
      <c r="J39" s="1099"/>
      <c r="K39" s="1095">
        <f t="shared" si="8"/>
        <v>0</v>
      </c>
      <c r="L39" s="468"/>
      <c r="M39" s="821"/>
      <c r="N39" s="821"/>
      <c r="O39" s="821"/>
      <c r="P39" s="821"/>
      <c r="Q39" s="821"/>
      <c r="R39" s="467"/>
      <c r="S39" s="464"/>
      <c r="T39" s="821"/>
      <c r="U39" s="821"/>
      <c r="V39" s="822">
        <f t="shared" si="7"/>
        <v>0</v>
      </c>
      <c r="W39" s="822"/>
      <c r="X39" s="822"/>
      <c r="Y39" s="467"/>
    </row>
    <row r="40" spans="1:25" ht="48.75" customHeight="1" hidden="1">
      <c r="A40" s="976">
        <v>16</v>
      </c>
      <c r="B40" s="942"/>
      <c r="C40" s="462"/>
      <c r="D40" s="464"/>
      <c r="E40" s="822"/>
      <c r="F40" s="822"/>
      <c r="G40" s="822"/>
      <c r="H40" s="822"/>
      <c r="I40" s="822"/>
      <c r="J40" s="1099"/>
      <c r="K40" s="1095">
        <f t="shared" si="8"/>
        <v>0</v>
      </c>
      <c r="L40" s="468"/>
      <c r="M40" s="821"/>
      <c r="N40" s="821"/>
      <c r="O40" s="821"/>
      <c r="P40" s="822"/>
      <c r="Q40" s="822"/>
      <c r="R40" s="467"/>
      <c r="S40" s="468"/>
      <c r="T40" s="821"/>
      <c r="U40" s="821"/>
      <c r="V40" s="822"/>
      <c r="W40" s="822"/>
      <c r="X40" s="822"/>
      <c r="Y40" s="467"/>
    </row>
    <row r="41" spans="1:25" ht="29.25" customHeight="1" hidden="1" thickBot="1">
      <c r="A41" s="976"/>
      <c r="B41" s="48"/>
      <c r="C41" s="462" t="s">
        <v>201</v>
      </c>
      <c r="D41" s="464"/>
      <c r="E41" s="822"/>
      <c r="F41" s="822"/>
      <c r="G41" s="822"/>
      <c r="H41" s="822"/>
      <c r="I41" s="822"/>
      <c r="J41" s="1099"/>
      <c r="K41" s="1096"/>
      <c r="L41" s="468"/>
      <c r="M41" s="821"/>
      <c r="N41" s="821"/>
      <c r="O41" s="821"/>
      <c r="P41" s="822"/>
      <c r="Q41" s="822"/>
      <c r="R41" s="467" t="e">
        <f>O41/M41</f>
        <v>#DIV/0!</v>
      </c>
      <c r="S41" s="468"/>
      <c r="T41" s="821"/>
      <c r="U41" s="821"/>
      <c r="V41" s="822">
        <f>G41-O41</f>
        <v>0</v>
      </c>
      <c r="W41" s="822"/>
      <c r="X41" s="822">
        <f>I41-Q41</f>
        <v>0</v>
      </c>
      <c r="Y41" s="467" t="e">
        <f>V41/T41</f>
        <v>#DIV/0!</v>
      </c>
    </row>
    <row r="42" spans="1:25" ht="29.25" customHeight="1" thickBot="1">
      <c r="A42" s="1396" t="s">
        <v>1</v>
      </c>
      <c r="B42" s="1397"/>
      <c r="C42" s="957"/>
      <c r="D42" s="466">
        <f aca="true" t="shared" si="9" ref="D42:J42">SUM(D29:D41)</f>
        <v>196331430</v>
      </c>
      <c r="E42" s="683">
        <f>SUM(E29:E41)</f>
        <v>185289479</v>
      </c>
      <c r="F42" s="683">
        <f>SUM(F29:F41)</f>
        <v>187831827</v>
      </c>
      <c r="G42" s="683">
        <f>SUM(G29:G41)</f>
        <v>215932180</v>
      </c>
      <c r="H42" s="683">
        <f t="shared" si="9"/>
        <v>141151328</v>
      </c>
      <c r="I42" s="683">
        <f t="shared" si="9"/>
        <v>38048758</v>
      </c>
      <c r="J42" s="1102">
        <f t="shared" si="9"/>
        <v>179200086</v>
      </c>
      <c r="K42" s="1094"/>
      <c r="L42" s="466">
        <f aca="true" t="shared" si="10" ref="L42:Q42">SUM(L29:L41)</f>
        <v>111605906</v>
      </c>
      <c r="M42" s="683">
        <f>SUM(M29:M41)</f>
        <v>111605906</v>
      </c>
      <c r="N42" s="683">
        <f>SUM(N29:N41)</f>
        <v>111605906</v>
      </c>
      <c r="O42" s="683">
        <f t="shared" si="10"/>
        <v>156803508</v>
      </c>
      <c r="P42" s="683">
        <f t="shared" si="10"/>
        <v>0</v>
      </c>
      <c r="Q42" s="683">
        <f t="shared" si="10"/>
        <v>0</v>
      </c>
      <c r="R42" s="684">
        <f>P42/O42</f>
        <v>0</v>
      </c>
      <c r="S42" s="466">
        <f aca="true" t="shared" si="11" ref="S42:X42">SUM(S29:S41)</f>
        <v>84725524</v>
      </c>
      <c r="T42" s="683">
        <f t="shared" si="11"/>
        <v>73683573</v>
      </c>
      <c r="U42" s="683">
        <f>SUM(U29:U41)</f>
        <v>76225921</v>
      </c>
      <c r="V42" s="683">
        <f t="shared" si="11"/>
        <v>59128672</v>
      </c>
      <c r="W42" s="683">
        <f t="shared" si="11"/>
        <v>140785227</v>
      </c>
      <c r="X42" s="683">
        <f t="shared" si="11"/>
        <v>38048758</v>
      </c>
      <c r="Y42" s="684">
        <f>W42/V42</f>
        <v>2.380997614828894</v>
      </c>
    </row>
    <row r="43" ht="15.75">
      <c r="D43" s="862"/>
    </row>
    <row r="44" spans="4:19" ht="12.75">
      <c r="D44" s="977" t="str">
        <f>IF(L42+S42=D42," ","HIBA-NEM EGYENLŐ")</f>
        <v> </v>
      </c>
      <c r="L44" s="968"/>
      <c r="M44" s="968"/>
      <c r="N44" s="968"/>
      <c r="O44" s="968"/>
      <c r="P44" s="968"/>
      <c r="Q44" s="968"/>
      <c r="R44" s="968"/>
      <c r="S44" s="968"/>
    </row>
    <row r="45" ht="12.75">
      <c r="V45" s="968"/>
    </row>
  </sheetData>
  <sheetProtection/>
  <mergeCells count="11">
    <mergeCell ref="A1:T1"/>
    <mergeCell ref="A25:T25"/>
    <mergeCell ref="S2:T2"/>
    <mergeCell ref="D27:J27"/>
    <mergeCell ref="L27:R27"/>
    <mergeCell ref="S27:Y27"/>
    <mergeCell ref="A42:B42"/>
    <mergeCell ref="D3:J3"/>
    <mergeCell ref="L3:R3"/>
    <mergeCell ref="S3:Y3"/>
    <mergeCell ref="A22:B22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landscape" paperSize="9" scale="43" r:id="rId1"/>
  <headerFooter alignWithMargins="0">
    <oddHeader xml:space="preserve">&amp;CÖNKORMÁNYZATI BERUHÁZÁSOK ÉS FELÚJÍTÁSOK
2020.
&amp;R&amp;"Arial CE,Félkövér dőlt"6/a számú melléklet
(7/a számú mellléklet a 4/2020. (III.13.) önkormányzati rendelethez)  </oddHead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B1">
      <selection activeCell="D2" sqref="D2"/>
    </sheetView>
  </sheetViews>
  <sheetFormatPr defaultColWidth="9.140625" defaultRowHeight="12.75"/>
  <cols>
    <col min="1" max="1" width="6.57421875" style="14" customWidth="1"/>
    <col min="2" max="2" width="26.7109375" style="985" customWidth="1"/>
    <col min="3" max="3" width="28.28125" style="985" customWidth="1"/>
    <col min="4" max="4" width="5.00390625" style="14" customWidth="1"/>
    <col min="5" max="6" width="14.57421875" style="14" customWidth="1"/>
    <col min="7" max="7" width="15.7109375" style="14" customWidth="1"/>
    <col min="8" max="8" width="13.57421875" style="14" customWidth="1"/>
    <col min="9" max="9" width="12.57421875" style="14" hidden="1" customWidth="1"/>
    <col min="10" max="10" width="13.8515625" style="14" hidden="1" customWidth="1"/>
    <col min="11" max="11" width="14.7109375" style="14" customWidth="1"/>
    <col min="12" max="12" width="11.421875" style="14" customWidth="1"/>
    <col min="13" max="15" width="9.140625" style="14" customWidth="1"/>
    <col min="16" max="16384" width="9.140625" style="14" customWidth="1"/>
  </cols>
  <sheetData>
    <row r="1" spans="2:9" ht="12.75">
      <c r="B1" s="1015"/>
      <c r="D1" s="1408" t="s">
        <v>653</v>
      </c>
      <c r="E1" s="1408"/>
      <c r="F1" s="1408"/>
      <c r="G1" s="1408"/>
      <c r="H1" s="1408"/>
      <c r="I1" s="1408"/>
    </row>
    <row r="2" spans="2:9" ht="12.75">
      <c r="B2" s="1015"/>
      <c r="D2" s="1127"/>
      <c r="E2" s="1127"/>
      <c r="F2" s="1127"/>
      <c r="G2" s="1127"/>
      <c r="H2" s="1127" t="s">
        <v>652</v>
      </c>
      <c r="I2" s="1127"/>
    </row>
    <row r="3" ht="12.75">
      <c r="B3" s="1015"/>
    </row>
    <row r="4" spans="1:6" ht="18">
      <c r="A4" s="1406" t="s">
        <v>53</v>
      </c>
      <c r="B4" s="1406"/>
      <c r="C4" s="1406"/>
      <c r="D4" s="1406"/>
      <c r="E4" s="1406"/>
      <c r="F4" s="1016"/>
    </row>
    <row r="5" spans="1:6" ht="18">
      <c r="A5" s="1406" t="s">
        <v>478</v>
      </c>
      <c r="B5" s="1406"/>
      <c r="C5" s="1406"/>
      <c r="D5" s="1406"/>
      <c r="E5" s="1406"/>
      <c r="F5" s="1016"/>
    </row>
    <row r="6" spans="1:6" ht="18">
      <c r="A6" s="1016"/>
      <c r="B6" s="1017"/>
      <c r="C6" s="1017"/>
      <c r="D6" s="1016"/>
      <c r="E6" s="1016"/>
      <c r="F6" s="1016"/>
    </row>
    <row r="7" spans="1:6" ht="15.75">
      <c r="A7" s="1407" t="s">
        <v>561</v>
      </c>
      <c r="B7" s="1407"/>
      <c r="C7" s="1407"/>
      <c r="D7" s="1407"/>
      <c r="E7" s="1407"/>
      <c r="F7" s="1018"/>
    </row>
    <row r="8" spans="1:10" ht="16.5" customHeight="1" thickBot="1">
      <c r="A8" s="1019"/>
      <c r="B8" s="1020"/>
      <c r="C8" s="1409" t="s">
        <v>452</v>
      </c>
      <c r="D8" s="1409"/>
      <c r="E8" s="1409"/>
      <c r="F8" s="1409"/>
      <c r="G8" s="1409"/>
      <c r="H8" s="1409"/>
      <c r="I8" s="1409"/>
      <c r="J8" s="1409"/>
    </row>
    <row r="9" spans="1:11" ht="45.75" customHeight="1" thickBot="1">
      <c r="A9" s="1274" t="s">
        <v>18</v>
      </c>
      <c r="B9" s="1021" t="s">
        <v>16</v>
      </c>
      <c r="C9" s="1021" t="s">
        <v>17</v>
      </c>
      <c r="D9" s="1275" t="s">
        <v>28</v>
      </c>
      <c r="E9" s="1021" t="s">
        <v>199</v>
      </c>
      <c r="F9" s="1021" t="s">
        <v>215</v>
      </c>
      <c r="G9" s="1021" t="s">
        <v>218</v>
      </c>
      <c r="H9" s="1276" t="s">
        <v>220</v>
      </c>
      <c r="I9" s="1269" t="s">
        <v>232</v>
      </c>
      <c r="J9" s="1021" t="s">
        <v>237</v>
      </c>
      <c r="K9" s="989"/>
    </row>
    <row r="10" spans="1:10" ht="30" customHeight="1">
      <c r="A10" s="16">
        <v>1</v>
      </c>
      <c r="B10" s="775" t="s">
        <v>322</v>
      </c>
      <c r="C10" s="775" t="str">
        <f>+'[2]Beled Közös Hiv.'!$B$6</f>
        <v>Informatikai eszközök létesítése (nagyértékű)</v>
      </c>
      <c r="D10" s="1277" t="s">
        <v>14</v>
      </c>
      <c r="E10" s="1278">
        <v>444500</v>
      </c>
      <c r="F10" s="1278">
        <v>444500</v>
      </c>
      <c r="G10" s="1278">
        <v>444500</v>
      </c>
      <c r="H10" s="1279">
        <f>426896+36120+26424</f>
        <v>489440</v>
      </c>
      <c r="I10" s="1270"/>
      <c r="J10" s="686"/>
    </row>
    <row r="11" spans="1:10" ht="30" customHeight="1">
      <c r="A11" s="35">
        <v>2</v>
      </c>
      <c r="B11" s="775" t="s">
        <v>322</v>
      </c>
      <c r="C11" s="775" t="str">
        <f>+'[2]Beled Közös Hiv.'!$B$11</f>
        <v>Egyéb berendezések beszerzése</v>
      </c>
      <c r="D11" s="1280" t="s">
        <v>14</v>
      </c>
      <c r="E11" s="1278">
        <v>444500</v>
      </c>
      <c r="F11" s="1278">
        <v>444500</v>
      </c>
      <c r="G11" s="1278">
        <v>444500</v>
      </c>
      <c r="H11" s="1281">
        <f>21000+5670</f>
        <v>26670</v>
      </c>
      <c r="I11" s="1271"/>
      <c r="J11" s="776"/>
    </row>
    <row r="12" spans="1:10" ht="30" customHeight="1">
      <c r="A12" s="35">
        <v>3</v>
      </c>
      <c r="B12" s="775" t="s">
        <v>206</v>
      </c>
      <c r="C12" s="775" t="str">
        <f>+'[3]bölcsőde'!$C$81</f>
        <v>Homoktakaró , baby taxi, trambulin</v>
      </c>
      <c r="D12" s="1280" t="s">
        <v>14</v>
      </c>
      <c r="E12" s="1278">
        <v>114300</v>
      </c>
      <c r="F12" s="1278">
        <v>114300</v>
      </c>
      <c r="G12" s="1278">
        <v>114300</v>
      </c>
      <c r="H12" s="1281">
        <v>0</v>
      </c>
      <c r="I12" s="1271"/>
      <c r="J12" s="776"/>
    </row>
    <row r="13" spans="1:16" ht="30" customHeight="1">
      <c r="A13" s="35">
        <v>4</v>
      </c>
      <c r="B13" s="775" t="s">
        <v>206</v>
      </c>
      <c r="C13" s="775" t="str">
        <f>+'[3]bölcsőde'!$C$82</f>
        <v>mikrohullámú sütő</v>
      </c>
      <c r="D13" s="1283" t="s">
        <v>14</v>
      </c>
      <c r="E13" s="1278">
        <v>25400</v>
      </c>
      <c r="F13" s="1278">
        <v>25400</v>
      </c>
      <c r="G13" s="1278">
        <v>25400</v>
      </c>
      <c r="H13" s="1282">
        <v>27990</v>
      </c>
      <c r="I13" s="1271"/>
      <c r="J13" s="776"/>
      <c r="K13" s="989"/>
      <c r="N13" s="989"/>
      <c r="P13" s="989"/>
    </row>
    <row r="14" spans="1:10" ht="30" customHeight="1">
      <c r="A14" s="35">
        <v>5</v>
      </c>
      <c r="B14" s="775" t="s">
        <v>206</v>
      </c>
      <c r="C14" s="775" t="str">
        <f>+'[3]bölcsőde'!$C$83</f>
        <v>benti csúszda</v>
      </c>
      <c r="D14" s="1283" t="s">
        <v>14</v>
      </c>
      <c r="E14" s="1278">
        <v>203199.8</v>
      </c>
      <c r="F14" s="1278">
        <v>203199.8</v>
      </c>
      <c r="G14" s="1278">
        <v>203199.8</v>
      </c>
      <c r="H14" s="1281">
        <v>0</v>
      </c>
      <c r="I14" s="1271"/>
      <c r="J14" s="776"/>
    </row>
    <row r="15" spans="1:10" ht="30" customHeight="1">
      <c r="A15" s="35">
        <v>6</v>
      </c>
      <c r="B15" s="775" t="s">
        <v>206</v>
      </c>
      <c r="C15" s="775" t="str">
        <f>+'[3]intézményi étkezés óvoda'!$B$5</f>
        <v>3 részes légkeveréses sütő</v>
      </c>
      <c r="D15" s="1288" t="s">
        <v>14</v>
      </c>
      <c r="E15" s="1278">
        <v>800000.17</v>
      </c>
      <c r="F15" s="1278">
        <v>800000.17</v>
      </c>
      <c r="G15" s="1278">
        <v>800000.17</v>
      </c>
      <c r="H15" s="1282">
        <v>0</v>
      </c>
      <c r="I15" s="1272"/>
      <c r="J15" s="687"/>
    </row>
    <row r="16" spans="1:10" ht="30" customHeight="1">
      <c r="A16" s="35">
        <v>7</v>
      </c>
      <c r="B16" s="775" t="s">
        <v>206</v>
      </c>
      <c r="C16" s="775" t="str">
        <f>+'[3]intézményi étkezés óvoda'!$B$6</f>
        <v>400 literes fagyasztó láda</v>
      </c>
      <c r="D16" s="1289" t="s">
        <v>14</v>
      </c>
      <c r="E16" s="1278">
        <v>164999.67</v>
      </c>
      <c r="F16" s="1278">
        <v>164999.67</v>
      </c>
      <c r="G16" s="1278">
        <v>164999.67</v>
      </c>
      <c r="H16" s="1282">
        <v>0</v>
      </c>
      <c r="I16" s="1272"/>
      <c r="J16" s="687"/>
    </row>
    <row r="17" spans="1:11" ht="36.75" customHeight="1">
      <c r="A17" s="35">
        <v>8</v>
      </c>
      <c r="B17" s="775" t="s">
        <v>206</v>
      </c>
      <c r="C17" s="775" t="str">
        <f>+'[3]művház'!$B$131</f>
        <v>mosógép, porszívó, állófogasok 2 db</v>
      </c>
      <c r="D17" s="1289" t="s">
        <v>14</v>
      </c>
      <c r="E17" s="1278">
        <v>228600</v>
      </c>
      <c r="F17" s="1278">
        <v>228600</v>
      </c>
      <c r="G17" s="1278">
        <v>228600</v>
      </c>
      <c r="H17" s="1282">
        <v>0</v>
      </c>
      <c r="I17" s="1272"/>
      <c r="J17" s="687"/>
      <c r="K17" s="989"/>
    </row>
    <row r="18" spans="1:16" ht="36.75" customHeight="1">
      <c r="A18" s="35">
        <v>9</v>
      </c>
      <c r="B18" s="775" t="s">
        <v>206</v>
      </c>
      <c r="C18" s="775" t="str">
        <f>+'[3]Beled óvoda'!$B$151</f>
        <v>iratmegsemmisítő, szőnyegtisztító gép</v>
      </c>
      <c r="D18" s="1283" t="s">
        <v>14</v>
      </c>
      <c r="E18" s="1278">
        <v>190500</v>
      </c>
      <c r="F18" s="1278">
        <v>190500</v>
      </c>
      <c r="G18" s="1278">
        <v>190500</v>
      </c>
      <c r="H18" s="1282">
        <v>0</v>
      </c>
      <c r="I18" s="1272"/>
      <c r="J18" s="687"/>
      <c r="K18" s="989"/>
      <c r="P18" s="989"/>
    </row>
    <row r="19" spans="1:11" ht="36.75" customHeight="1">
      <c r="A19" s="35">
        <v>10</v>
      </c>
      <c r="B19" s="775" t="s">
        <v>206</v>
      </c>
      <c r="C19" s="775" t="str">
        <f>+'[3]Beled óvoda'!$B$152</f>
        <v>udvari asztal, padok, tranbulin, napernyők</v>
      </c>
      <c r="D19" s="1283" t="s">
        <v>14</v>
      </c>
      <c r="E19" s="1278">
        <v>254000</v>
      </c>
      <c r="F19" s="1278">
        <v>254000</v>
      </c>
      <c r="G19" s="1278">
        <v>254000</v>
      </c>
      <c r="H19" s="1282">
        <v>0</v>
      </c>
      <c r="I19" s="1272"/>
      <c r="J19" s="687"/>
      <c r="K19" s="989"/>
    </row>
    <row r="20" spans="1:11" ht="36.75" customHeight="1">
      <c r="A20" s="35">
        <v>11</v>
      </c>
      <c r="B20" s="775" t="s">
        <v>206</v>
      </c>
      <c r="C20" s="775" t="str">
        <f>+'[3]Beled óvoda'!$B$149</f>
        <v>ágvágó, sövénynyíró</v>
      </c>
      <c r="D20" s="1283" t="s">
        <v>14</v>
      </c>
      <c r="E20" s="1278">
        <v>114300</v>
      </c>
      <c r="F20" s="1278">
        <v>114300</v>
      </c>
      <c r="G20" s="1278">
        <v>114300</v>
      </c>
      <c r="H20" s="1282">
        <v>0</v>
      </c>
      <c r="I20" s="1272"/>
      <c r="J20" s="687"/>
      <c r="K20" s="989"/>
    </row>
    <row r="21" spans="1:11" ht="36.75" customHeight="1" thickBot="1">
      <c r="A21" s="35">
        <v>12</v>
      </c>
      <c r="B21" s="775" t="s">
        <v>206</v>
      </c>
      <c r="C21" s="775" t="s">
        <v>627</v>
      </c>
      <c r="D21" s="1283" t="s">
        <v>14</v>
      </c>
      <c r="E21" s="1278"/>
      <c r="F21" s="1278"/>
      <c r="G21" s="1278"/>
      <c r="H21" s="1282">
        <f>28016+7564</f>
        <v>35580</v>
      </c>
      <c r="I21" s="1272"/>
      <c r="J21" s="687"/>
      <c r="K21" s="989"/>
    </row>
    <row r="22" spans="1:11" ht="36.75" customHeight="1">
      <c r="A22" s="16">
        <v>13</v>
      </c>
      <c r="B22" s="775" t="s">
        <v>206</v>
      </c>
      <c r="C22" s="775" t="s">
        <v>626</v>
      </c>
      <c r="D22" s="1283" t="s">
        <v>14</v>
      </c>
      <c r="E22" s="1278"/>
      <c r="F22" s="1278"/>
      <c r="G22" s="1278"/>
      <c r="H22" s="1282">
        <f>106000+28620</f>
        <v>134620</v>
      </c>
      <c r="I22" s="1272"/>
      <c r="J22" s="687"/>
      <c r="K22" s="989"/>
    </row>
    <row r="23" spans="1:11" ht="36.75" customHeight="1" thickBot="1">
      <c r="A23" s="35">
        <v>14</v>
      </c>
      <c r="B23" s="775" t="s">
        <v>206</v>
      </c>
      <c r="C23" s="775" t="s">
        <v>628</v>
      </c>
      <c r="D23" s="1283" t="s">
        <v>14</v>
      </c>
      <c r="E23" s="1278"/>
      <c r="F23" s="1278"/>
      <c r="G23" s="1278"/>
      <c r="H23" s="1282">
        <f>23466+6336</f>
        <v>29802</v>
      </c>
      <c r="I23" s="1272"/>
      <c r="J23" s="687"/>
      <c r="K23" s="989"/>
    </row>
    <row r="24" spans="1:11" ht="36.75" customHeight="1" thickBot="1">
      <c r="A24" s="16">
        <v>15</v>
      </c>
      <c r="B24" s="775" t="s">
        <v>206</v>
      </c>
      <c r="C24" s="775" t="s">
        <v>629</v>
      </c>
      <c r="D24" s="1283" t="s">
        <v>14</v>
      </c>
      <c r="E24" s="1278"/>
      <c r="F24" s="1278"/>
      <c r="G24" s="1278"/>
      <c r="H24" s="1282">
        <f>335180+90499</f>
        <v>425679</v>
      </c>
      <c r="I24" s="1272"/>
      <c r="J24" s="687"/>
      <c r="K24" s="989"/>
    </row>
    <row r="25" spans="1:11" ht="36.75" customHeight="1" hidden="1" thickBot="1">
      <c r="A25" s="35">
        <v>16</v>
      </c>
      <c r="B25" s="775" t="s">
        <v>206</v>
      </c>
      <c r="C25" s="1290"/>
      <c r="D25" s="1283" t="s">
        <v>14</v>
      </c>
      <c r="E25" s="1278"/>
      <c r="F25" s="1278"/>
      <c r="G25" s="1278"/>
      <c r="H25" s="1282"/>
      <c r="I25" s="1272"/>
      <c r="J25" s="687"/>
      <c r="K25" s="989"/>
    </row>
    <row r="26" spans="1:11" ht="36.75" customHeight="1" hidden="1">
      <c r="A26" s="16">
        <v>17</v>
      </c>
      <c r="B26" s="775" t="s">
        <v>206</v>
      </c>
      <c r="C26" s="34"/>
      <c r="D26" s="1283" t="s">
        <v>14</v>
      </c>
      <c r="E26" s="1278"/>
      <c r="F26" s="1278"/>
      <c r="G26" s="1278"/>
      <c r="H26" s="1282"/>
      <c r="I26" s="1272"/>
      <c r="J26" s="687"/>
      <c r="K26" s="989"/>
    </row>
    <row r="27" spans="1:11" ht="36.75" customHeight="1" hidden="1">
      <c r="A27" s="35">
        <v>21</v>
      </c>
      <c r="B27" s="775" t="s">
        <v>206</v>
      </c>
      <c r="C27" s="1284"/>
      <c r="D27" s="1283" t="s">
        <v>14</v>
      </c>
      <c r="E27" s="1278"/>
      <c r="F27" s="1278"/>
      <c r="G27" s="1278"/>
      <c r="H27" s="1282"/>
      <c r="I27" s="1272"/>
      <c r="J27" s="687"/>
      <c r="K27" s="989"/>
    </row>
    <row r="28" spans="1:11" ht="36.75" customHeight="1" hidden="1">
      <c r="A28" s="35">
        <v>22</v>
      </c>
      <c r="B28" s="775" t="s">
        <v>206</v>
      </c>
      <c r="C28" s="34"/>
      <c r="D28" s="1283" t="s">
        <v>14</v>
      </c>
      <c r="E28" s="1278"/>
      <c r="F28" s="1278"/>
      <c r="G28" s="1278"/>
      <c r="H28" s="1282"/>
      <c r="I28" s="1272"/>
      <c r="J28" s="687"/>
      <c r="K28" s="989"/>
    </row>
    <row r="29" spans="1:11" ht="36.75" customHeight="1" hidden="1">
      <c r="A29" s="35">
        <v>23</v>
      </c>
      <c r="B29" s="775" t="s">
        <v>206</v>
      </c>
      <c r="C29" s="34"/>
      <c r="D29" s="1283" t="s">
        <v>14</v>
      </c>
      <c r="E29" s="1278"/>
      <c r="F29" s="1278"/>
      <c r="G29" s="1278"/>
      <c r="H29" s="1282"/>
      <c r="I29" s="1272"/>
      <c r="J29" s="687"/>
      <c r="K29" s="989"/>
    </row>
    <row r="30" spans="1:12" ht="36.75" customHeight="1" hidden="1">
      <c r="A30" s="35">
        <v>24</v>
      </c>
      <c r="B30" s="775" t="s">
        <v>206</v>
      </c>
      <c r="C30" s="34"/>
      <c r="D30" s="1283" t="s">
        <v>14</v>
      </c>
      <c r="E30" s="1278"/>
      <c r="F30" s="1278"/>
      <c r="G30" s="1278"/>
      <c r="H30" s="1282"/>
      <c r="I30" s="1272"/>
      <c r="J30" s="687"/>
      <c r="L30" s="1022"/>
    </row>
    <row r="31" spans="1:12" ht="36.75" customHeight="1" hidden="1">
      <c r="A31" s="35">
        <v>25</v>
      </c>
      <c r="B31" s="775" t="s">
        <v>206</v>
      </c>
      <c r="C31" s="34"/>
      <c r="D31" s="1283" t="s">
        <v>14</v>
      </c>
      <c r="E31" s="1278"/>
      <c r="F31" s="1278"/>
      <c r="G31" s="1278"/>
      <c r="H31" s="1282"/>
      <c r="I31" s="1272"/>
      <c r="J31" s="687"/>
      <c r="L31" s="1022"/>
    </row>
    <row r="32" spans="1:12" ht="36.75" customHeight="1" hidden="1" thickBot="1">
      <c r="A32" s="1027">
        <v>26</v>
      </c>
      <c r="B32" s="775" t="s">
        <v>206</v>
      </c>
      <c r="C32" s="34"/>
      <c r="D32" s="1283" t="s">
        <v>14</v>
      </c>
      <c r="E32" s="1278"/>
      <c r="F32" s="1278"/>
      <c r="G32" s="1278"/>
      <c r="H32" s="1282"/>
      <c r="I32" s="1272"/>
      <c r="J32" s="687"/>
      <c r="L32" s="1022"/>
    </row>
    <row r="33" spans="1:12" s="1026" customFormat="1" ht="30" customHeight="1" thickBot="1">
      <c r="A33" s="1404" t="s">
        <v>1</v>
      </c>
      <c r="B33" s="1405"/>
      <c r="C33" s="1023"/>
      <c r="D33" s="1285"/>
      <c r="E33" s="1286">
        <f aca="true" t="shared" si="0" ref="E33:J33">SUM(E10:E32)</f>
        <v>2984299.64</v>
      </c>
      <c r="F33" s="1286">
        <f>SUM(F10:F32)</f>
        <v>2984299.64</v>
      </c>
      <c r="G33" s="1286">
        <f>SUM(G10:G32)</f>
        <v>2984299.64</v>
      </c>
      <c r="H33" s="1287">
        <f>SUM(H10:H32)</f>
        <v>1169781</v>
      </c>
      <c r="I33" s="1273">
        <f t="shared" si="0"/>
        <v>0</v>
      </c>
      <c r="J33" s="1024">
        <f t="shared" si="0"/>
        <v>0</v>
      </c>
      <c r="K33" s="1025"/>
      <c r="L33" s="1025"/>
    </row>
    <row r="34" ht="12.75" hidden="1">
      <c r="K34" s="14">
        <f>301792+3624773</f>
        <v>3926565</v>
      </c>
    </row>
    <row r="35" spans="5:11" ht="12.75" hidden="1">
      <c r="E35" s="14" t="str">
        <f>IF(E33='5.2 sz. m ÁMK'!D44+'5.2 sz. m ÁMK'!D46+'5.1 sz. m Köz Hiv'!D41+'5.1 sz. m Köz Hiv'!D42," ","HIBA - nem egyenlő")</f>
        <v>HIBA - nem egyenlő</v>
      </c>
      <c r="F35" s="14" t="str">
        <f>IF(F33='5.2 sz. m ÁMK'!E44+'5.2 sz. m ÁMK'!E46+'5.1 sz. m Köz Hiv'!E41+'5.1 sz. m Köz Hiv'!E42," ","HIBA - nem egyenlő")</f>
        <v>HIBA - nem egyenlő</v>
      </c>
      <c r="H35" s="14">
        <f>+'5.2 sz. m ÁMK'!F44+'5.1 sz. m Köz Hiv'!G41</f>
        <v>2611410</v>
      </c>
      <c r="I35" s="14">
        <f>+'5.2 sz. m ÁMK'!G44+'5.1 sz. m Köz Hiv'!H41</f>
        <v>653671</v>
      </c>
      <c r="J35" s="14">
        <f>+'5.2 sz. m ÁMK'!H44+'5.1 sz. m Köz Hiv'!I41</f>
        <v>0</v>
      </c>
      <c r="K35" s="14">
        <f>+K33-K34</f>
        <v>-3926565</v>
      </c>
    </row>
    <row r="36" ht="12.75" hidden="1"/>
    <row r="37" ht="12.75" hidden="1">
      <c r="H37" s="14">
        <f>+'5.2 sz. m ÁMK'!G44</f>
        <v>653671</v>
      </c>
    </row>
    <row r="38" ht="12.75" hidden="1">
      <c r="H38" s="989">
        <f>SUM(H13:H32)</f>
        <v>653671</v>
      </c>
    </row>
    <row r="39" spans="6:8" ht="12.75" hidden="1">
      <c r="F39" s="989"/>
      <c r="H39" s="989">
        <f>+H37-H38</f>
        <v>0</v>
      </c>
    </row>
  </sheetData>
  <sheetProtection/>
  <mergeCells count="6">
    <mergeCell ref="A33:B33"/>
    <mergeCell ref="A4:E4"/>
    <mergeCell ref="A5:E5"/>
    <mergeCell ref="A7:E7"/>
    <mergeCell ref="D1:I1"/>
    <mergeCell ref="C8:J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User5</cp:lastModifiedBy>
  <cp:lastPrinted>2017-02-27T15:14:38Z</cp:lastPrinted>
  <dcterms:created xsi:type="dcterms:W3CDTF">2000-01-07T08:44:52Z</dcterms:created>
  <dcterms:modified xsi:type="dcterms:W3CDTF">2021-03-05T08:38:37Z</dcterms:modified>
  <cp:category/>
  <cp:version/>
  <cp:contentType/>
  <cp:contentStatus/>
</cp:coreProperties>
</file>